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\Documents\02 - NFC\Teds stuff\"/>
    </mc:Choice>
  </mc:AlternateContent>
  <xr:revisionPtr revIDLastSave="0" documentId="13_ncr:1_{D432734A-D629-43D6-9AC0-F2D3143F7D77}" xr6:coauthVersionLast="47" xr6:coauthVersionMax="47" xr10:uidLastSave="{00000000-0000-0000-0000-000000000000}"/>
  <bookViews>
    <workbookView xWindow="-108" yWindow="-108" windowWidth="23256" windowHeight="12576" activeTab="1" xr2:uid="{B263EAD2-8E27-43E3-8A7C-DAADF58A7BB0}"/>
  </bookViews>
  <sheets>
    <sheet name="Sc RP4 energy " sheetId="8" r:id="rId1"/>
    <sheet name="Sc RP4" sheetId="6" r:id="rId2"/>
  </sheets>
  <externalReferences>
    <externalReference r:id="rId3"/>
  </externalReferences>
  <definedNames>
    <definedName name="Summary_CDP" localSheetId="1">'Sc RP4'!#REF!</definedName>
    <definedName name="Summary_CDP" localSheetId="0">'Sc RP4 energy '!#REF!</definedName>
    <definedName name="Summary_CDP">'[1]Sc 2b'!#REF!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8" l="1"/>
  <c r="C6" i="8"/>
  <c r="C19" i="8" s="1"/>
  <c r="C38" i="8" s="1"/>
  <c r="C7" i="8"/>
  <c r="C8" i="8"/>
  <c r="C10" i="8"/>
  <c r="C11" i="8"/>
  <c r="H11" i="8"/>
  <c r="J11" i="8"/>
  <c r="C12" i="8"/>
  <c r="C13" i="8"/>
  <c r="H13" i="8"/>
  <c r="C14" i="8"/>
  <c r="D22" i="8"/>
  <c r="D5" i="8" s="1"/>
  <c r="E22" i="8"/>
  <c r="E12" i="8" s="1"/>
  <c r="F22" i="8"/>
  <c r="F8" i="8" s="1"/>
  <c r="G22" i="8"/>
  <c r="G8" i="8" s="1"/>
  <c r="H22" i="8"/>
  <c r="H8" i="8" s="1"/>
  <c r="I22" i="8"/>
  <c r="I10" i="8" s="1"/>
  <c r="J22" i="8"/>
  <c r="J6" i="8" s="1"/>
  <c r="C23" i="8"/>
  <c r="I23" i="8"/>
  <c r="C29" i="8"/>
  <c r="D29" i="8"/>
  <c r="E29" i="8"/>
  <c r="F29" i="8"/>
  <c r="G29" i="8"/>
  <c r="H29" i="8"/>
  <c r="I29" i="8"/>
  <c r="J29" i="8"/>
  <c r="C32" i="8"/>
  <c r="D32" i="8"/>
  <c r="E32" i="8"/>
  <c r="F32" i="8"/>
  <c r="G32" i="8"/>
  <c r="H32" i="8"/>
  <c r="I32" i="8"/>
  <c r="J32" i="8"/>
  <c r="L38" i="8"/>
  <c r="D10" i="8" l="1"/>
  <c r="F10" i="8"/>
  <c r="F14" i="8"/>
  <c r="F13" i="8"/>
  <c r="D13" i="8"/>
  <c r="G6" i="8"/>
  <c r="E23" i="8"/>
  <c r="I14" i="8"/>
  <c r="D23" i="8"/>
  <c r="H14" i="8"/>
  <c r="I11" i="8"/>
  <c r="F11" i="8"/>
  <c r="F6" i="8"/>
  <c r="E6" i="8"/>
  <c r="G13" i="8"/>
  <c r="H10" i="8"/>
  <c r="D6" i="8"/>
  <c r="E13" i="8"/>
  <c r="E10" i="8"/>
  <c r="D12" i="8"/>
  <c r="E8" i="8"/>
  <c r="D16" i="8"/>
  <c r="J14" i="8"/>
  <c r="D8" i="8"/>
  <c r="J15" i="8"/>
  <c r="G10" i="8"/>
  <c r="I7" i="8"/>
  <c r="G14" i="8"/>
  <c r="G11" i="8"/>
  <c r="H7" i="8"/>
  <c r="J5" i="8"/>
  <c r="H5" i="8"/>
  <c r="G7" i="8"/>
  <c r="G33" i="8" s="1"/>
  <c r="J23" i="8"/>
  <c r="I16" i="8"/>
  <c r="E14" i="8"/>
  <c r="I12" i="8"/>
  <c r="E11" i="8"/>
  <c r="J8" i="8"/>
  <c r="F7" i="8"/>
  <c r="G5" i="8"/>
  <c r="H16" i="8"/>
  <c r="D14" i="8"/>
  <c r="H12" i="8"/>
  <c r="D11" i="8"/>
  <c r="I8" i="8"/>
  <c r="E7" i="8"/>
  <c r="F5" i="8"/>
  <c r="H23" i="8"/>
  <c r="G16" i="8"/>
  <c r="G12" i="8"/>
  <c r="D7" i="8"/>
  <c r="D33" i="8" s="1"/>
  <c r="E5" i="8"/>
  <c r="J7" i="8"/>
  <c r="J16" i="8"/>
  <c r="J12" i="8"/>
  <c r="G23" i="8"/>
  <c r="F16" i="8"/>
  <c r="J13" i="8"/>
  <c r="F12" i="8"/>
  <c r="J10" i="8"/>
  <c r="J9" i="8"/>
  <c r="F23" i="8"/>
  <c r="E16" i="8"/>
  <c r="I13" i="8"/>
  <c r="Y3" i="6"/>
  <c r="K5" i="6"/>
  <c r="AM4" i="6"/>
  <c r="AJ4" i="6"/>
  <c r="AI4" i="6"/>
  <c r="AE4" i="6"/>
  <c r="AD4" i="6"/>
  <c r="AC4" i="6"/>
  <c r="Z4" i="6"/>
  <c r="Y4" i="6"/>
  <c r="U4" i="6"/>
  <c r="T4" i="6"/>
  <c r="Q4" i="6"/>
  <c r="O4" i="6"/>
  <c r="J4" i="6"/>
  <c r="C4" i="6"/>
  <c r="AI3" i="6"/>
  <c r="AD3" i="6"/>
  <c r="U3" i="6"/>
  <c r="T3" i="6"/>
  <c r="P3" i="6"/>
  <c r="O3" i="6"/>
  <c r="J3" i="6"/>
  <c r="C3" i="6"/>
  <c r="U2" i="6"/>
  <c r="H19" i="8" l="1"/>
  <c r="H38" i="8" s="1"/>
  <c r="J19" i="8"/>
  <c r="J38" i="8" s="1"/>
  <c r="L39" i="8" s="1"/>
  <c r="F33" i="8"/>
  <c r="E19" i="8"/>
  <c r="E38" i="8" s="1"/>
  <c r="H33" i="8"/>
  <c r="J33" i="8"/>
  <c r="C35" i="8"/>
  <c r="G19" i="8"/>
  <c r="G38" i="8" s="1"/>
  <c r="H39" i="8" s="1"/>
  <c r="I19" i="8"/>
  <c r="I38" i="8" s="1"/>
  <c r="J39" i="8" s="1"/>
  <c r="I33" i="8"/>
  <c r="F19" i="8"/>
  <c r="F38" i="8" s="1"/>
  <c r="E33" i="8"/>
  <c r="D19" i="8"/>
  <c r="D38" i="8" s="1"/>
  <c r="I39" i="8" l="1"/>
  <c r="F39" i="8"/>
  <c r="E39" i="8"/>
  <c r="D39" i="8"/>
  <c r="G39" i="8"/>
  <c r="K39" i="8" l="1"/>
  <c r="M39" i="8" s="1"/>
</calcChain>
</file>

<file path=xl/sharedStrings.xml><?xml version="1.0" encoding="utf-8"?>
<sst xmlns="http://schemas.openxmlformats.org/spreadsheetml/2006/main" count="70" uniqueCount="39">
  <si>
    <t>Availability</t>
  </si>
  <si>
    <t>Coal Black</t>
  </si>
  <si>
    <t>Coal Brown</t>
  </si>
  <si>
    <t>Total Coal</t>
  </si>
  <si>
    <t>Nuclear</t>
  </si>
  <si>
    <t>Peaking Gas</t>
  </si>
  <si>
    <t>CCG+CCS</t>
  </si>
  <si>
    <t>CCG</t>
  </si>
  <si>
    <t>Solar R/T</t>
  </si>
  <si>
    <t>Solr UT</t>
  </si>
  <si>
    <t>Wind</t>
  </si>
  <si>
    <t>Hydro</t>
  </si>
  <si>
    <t>P/Store</t>
  </si>
  <si>
    <t>Batteries HV</t>
  </si>
  <si>
    <t>Sum Gen</t>
  </si>
  <si>
    <t>Demand</t>
  </si>
  <si>
    <t>Model Number</t>
  </si>
  <si>
    <t>Low</t>
  </si>
  <si>
    <t>c/kWh</t>
  </si>
  <si>
    <t>Fuel</t>
  </si>
  <si>
    <t>gr CO2/kWh</t>
  </si>
  <si>
    <t>LCA</t>
  </si>
  <si>
    <t>Year</t>
  </si>
  <si>
    <t>Population</t>
  </si>
  <si>
    <t>Pop millions</t>
  </si>
  <si>
    <t>Nuke MWh/cap/yr</t>
  </si>
  <si>
    <t>Capacity Factor</t>
  </si>
  <si>
    <t>O/A N MWh/cp/yr</t>
  </si>
  <si>
    <t>Assumed nuclear deployment rate</t>
  </si>
  <si>
    <t>KW</t>
  </si>
  <si>
    <t>Actual nuclear deployment rate</t>
  </si>
  <si>
    <t>kW</t>
  </si>
  <si>
    <t>Hybrid Store</t>
  </si>
  <si>
    <t>Batteries</t>
  </si>
  <si>
    <t>$10/GJ</t>
  </si>
  <si>
    <t>$20/GJ</t>
  </si>
  <si>
    <t>MT CO2</t>
  </si>
  <si>
    <t>Batteries LV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</si>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</sst>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2" borderId="0" xfId="0" applyFont="1" applyFill="1"/>
    <xf numFmtId="2" fontId="2" fillId="2" borderId="0" xfId="0" applyNumberFormat="1" applyFont="1" applyFill="1"/>
    <xf numFmtId="0" fontId="2" fillId="3" borderId="0" xfId="0" applyFont="1" applyFill="1"/>
    <xf numFmtId="0" fontId="2" fillId="4" borderId="0" xfId="0" applyFont="1" applyFill="1"/>
    <xf numFmtId="164" fontId="2" fillId="5" borderId="0" xfId="0" applyNumberFormat="1" applyFont="1" applyFill="1"/>
    <xf numFmtId="2" fontId="2" fillId="6" borderId="0" xfId="0" applyNumberFormat="1" applyFont="1" applyFill="1"/>
    <xf numFmtId="2" fontId="2" fillId="0" borderId="0" xfId="0" applyNumberFormat="1" applyFont="1"/>
    <xf numFmtId="165" fontId="2" fillId="0" borderId="0" xfId="0" applyNumberFormat="1" applyFont="1"/>
    <xf numFmtId="165" fontId="2" fillId="3" borderId="0" xfId="0" applyNumberFormat="1" applyFont="1" applyFill="1"/>
    <xf numFmtId="165" fontId="2" fillId="4" borderId="0" xfId="0" applyNumberFormat="1" applyFont="1" applyFill="1"/>
    <xf numFmtId="2" fontId="2" fillId="4" borderId="0" xfId="0" applyNumberFormat="1" applyFont="1" applyFill="1"/>
    <xf numFmtId="1" fontId="2" fillId="0" borderId="0" xfId="0" applyNumberFormat="1" applyFont="1"/>
    <xf numFmtId="1" fontId="2" fillId="3" borderId="0" xfId="0" applyNumberFormat="1" applyFont="1" applyFill="1"/>
    <xf numFmtId="1" fontId="2" fillId="4" borderId="0" xfId="0" applyNumberFormat="1" applyFont="1" applyFill="1"/>
    <xf numFmtId="17" fontId="2" fillId="3" borderId="0" xfId="0" applyNumberFormat="1" applyFont="1" applyFill="1"/>
    <xf numFmtId="17" fontId="2" fillId="0" borderId="0" xfId="0" applyNumberFormat="1" applyFont="1"/>
    <xf numFmtId="17" fontId="2" fillId="4" borderId="0" xfId="0" applyNumberFormat="1" applyFont="1" applyFill="1"/>
    <xf numFmtId="164" fontId="2" fillId="3" borderId="0" xfId="0" applyNumberFormat="1" applyFont="1" applyFill="1"/>
    <xf numFmtId="164" fontId="2" fillId="0" borderId="0" xfId="0" applyNumberFormat="1" applyFont="1"/>
    <xf numFmtId="164" fontId="2" fillId="4" borderId="0" xfId="0" applyNumberFormat="1" applyFont="1" applyFill="1"/>
    <xf numFmtId="166" fontId="2" fillId="0" borderId="0" xfId="1" applyNumberFormat="1" applyFont="1"/>
    <xf numFmtId="0" fontId="3" fillId="7" borderId="0" xfId="0" applyFont="1" applyFill="1"/>
    <xf numFmtId="0" fontId="3" fillId="8" borderId="0" xfId="0" applyFont="1" applyFill="1"/>
    <xf numFmtId="11" fontId="2" fillId="0" borderId="0" xfId="0" applyNumberFormat="1" applyFont="1"/>
    <xf numFmtId="0" fontId="3" fillId="5" borderId="0" xfId="0" applyFont="1" applyFill="1"/>
    <xf numFmtId="43" fontId="2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2" fillId="0" borderId="0" xfId="0" applyFont="1" applyAlignment="1">
      <alignment wrapText="1"/>
    </xf>
    <xf numFmtId="0" fontId="2" fillId="0" borderId="0" xfId="0" quotePrefix="1" applyFont="1"/>
    <xf numFmtId="0" fontId="3" fillId="9" borderId="0" xfId="0" applyFont="1" applyFill="1"/>
    <xf numFmtId="166" fontId="2" fillId="0" borderId="0" xfId="0" applyNumberFormat="1" applyFont="1"/>
    <xf numFmtId="0" fontId="3" fillId="3" borderId="0" xfId="0" applyFont="1" applyFill="1"/>
  </cellXfs>
  <cellStyles count="3">
    <cellStyle name="Comma" xfId="1" builtinId="3"/>
    <cellStyle name="Normal" xfId="0" builtinId="0"/>
    <cellStyle name="Percent 2" xfId="2" xr:uid="{7E00EBE5-A378-42F4-BF5D-DF38DEA33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Population, Demand Nuke Capacity</a:t>
            </a:r>
          </a:p>
        </c:rich>
      </c:tx>
      <c:layout>
        <c:manualLayout>
          <c:xMode val="edge"/>
          <c:yMode val="edge"/>
          <c:x val="0.3604288752368700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968233336628712E-2"/>
          <c:y val="0.10360325024020103"/>
          <c:w val="0.7991266864073624"/>
          <c:h val="0.59935737077681972"/>
        </c:manualLayout>
      </c:layout>
      <c:lineChart>
        <c:grouping val="stacked"/>
        <c:varyColors val="0"/>
        <c:ser>
          <c:idx val="0"/>
          <c:order val="0"/>
          <c:tx>
            <c:v>Demand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'!$C$22:$J$22</c:f>
              <c:numCache>
                <c:formatCode>0</c:formatCode>
                <c:ptCount val="8"/>
                <c:pt idx="0" formatCode="General">
                  <c:v>200</c:v>
                </c:pt>
                <c:pt idx="1">
                  <c:v>209.83210000000003</c:v>
                </c:pt>
                <c:pt idx="2">
                  <c:v>218.68360000000001</c:v>
                </c:pt>
                <c:pt idx="3">
                  <c:v>229.99510000000001</c:v>
                </c:pt>
                <c:pt idx="4">
                  <c:v>243.76660000000001</c:v>
                </c:pt>
                <c:pt idx="5">
                  <c:v>259.99810000000002</c:v>
                </c:pt>
                <c:pt idx="6">
                  <c:v>278.68960000000004</c:v>
                </c:pt>
                <c:pt idx="7">
                  <c:v>299.84109999999998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E-4983-BE0F-ABCC7C9E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208848"/>
        <c:axId val="1018593648"/>
      </c:lineChart>
      <c:lineChart>
        <c:grouping val="standard"/>
        <c:varyColors val="0"/>
        <c:ser>
          <c:idx val="1"/>
          <c:order val="1"/>
          <c:tx>
            <c:v>Population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'!$C$32:$J$32</c:f>
              <c:numCache>
                <c:formatCode>0</c:formatCode>
                <c:ptCount val="8"/>
                <c:pt idx="0">
                  <c:v>27.146999999999998</c:v>
                </c:pt>
                <c:pt idx="1">
                  <c:v>29.93</c:v>
                </c:pt>
                <c:pt idx="2">
                  <c:v>31.806999999999999</c:v>
                </c:pt>
                <c:pt idx="3">
                  <c:v>33.603000000000002</c:v>
                </c:pt>
                <c:pt idx="4">
                  <c:v>35.350999999999999</c:v>
                </c:pt>
                <c:pt idx="5">
                  <c:v>37.076999999999998</c:v>
                </c:pt>
                <c:pt idx="6">
                  <c:v>38.801000000000002</c:v>
                </c:pt>
                <c:pt idx="7">
                  <c:v>40.536000000000001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E-4983-BE0F-ABCC7C9E0798}"/>
            </c:ext>
          </c:extLst>
        </c:ser>
        <c:ser>
          <c:idx val="2"/>
          <c:order val="2"/>
          <c:tx>
            <c:v>Nuclear Capacity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'Sc RP4 energy '!$C$7:$J$7</c:f>
              <c:numCache>
                <c:formatCode>0.0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0.00">
                  <c:v>5.2484064000000004</c:v>
                </c:pt>
                <c:pt idx="3">
                  <c:v>56.118804400000002</c:v>
                </c:pt>
                <c:pt idx="4">
                  <c:v>99.213006199999995</c:v>
                </c:pt>
                <c:pt idx="5">
                  <c:v>155.4788638</c:v>
                </c:pt>
                <c:pt idx="6">
                  <c:v>179.47610240000003</c:v>
                </c:pt>
                <c:pt idx="7">
                  <c:v>206.59051789999998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7E-4983-BE0F-ABCC7C9E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624880"/>
        <c:axId val="1009012096"/>
      </c:lineChart>
      <c:dateAx>
        <c:axId val="127920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593648"/>
        <c:crosses val="autoZero"/>
        <c:auto val="1"/>
        <c:lblOffset val="100"/>
        <c:baseTimeUnit val="years"/>
      </c:dateAx>
      <c:valAx>
        <c:axId val="101859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Demand TWh/yr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208848"/>
        <c:crosses val="autoZero"/>
        <c:crossBetween val="between"/>
      </c:valAx>
      <c:valAx>
        <c:axId val="10090120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Population In Millions and Nuke Capacity in GW</a:t>
                </a:r>
              </a:p>
            </c:rich>
          </c:tx>
          <c:layout>
            <c:manualLayout>
              <c:xMode val="edge"/>
              <c:yMode val="edge"/>
              <c:x val="0.93156688519570652"/>
              <c:y val="0.368696245309682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24880"/>
        <c:crosses val="max"/>
        <c:crossBetween val="between"/>
      </c:valAx>
      <c:dateAx>
        <c:axId val="13116248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09012096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0317909876361"/>
          <c:y val="0.83381664107808395"/>
          <c:w val="0.3338290301009233"/>
          <c:h val="9.3014696707481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000" b="1">
                <a:solidFill>
                  <a:srgbClr val="C00000"/>
                </a:solidFill>
              </a:rPr>
              <a:t>Nuclear</a:t>
            </a:r>
            <a:r>
              <a:rPr lang="en-AU" sz="2000" b="1" baseline="0">
                <a:solidFill>
                  <a:srgbClr val="C00000"/>
                </a:solidFill>
              </a:rPr>
              <a:t> + VRE Transition on the NEM to 2023  to 2060 </a:t>
            </a:r>
            <a:br>
              <a:rPr lang="en-AU" sz="2000" b="1" baseline="0"/>
            </a:br>
            <a:r>
              <a:rPr lang="en-AU" sz="2000" b="1" baseline="0">
                <a:solidFill>
                  <a:sysClr val="windowText" lastClr="000000"/>
                </a:solidFill>
              </a:rPr>
              <a:t>Sc RP4</a:t>
            </a:r>
          </a:p>
          <a:p>
            <a:pPr>
              <a:defRPr/>
            </a:pPr>
            <a:endParaRPr lang="en-AU" sz="20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1610209477597839"/>
          <c:y val="1.21843179586411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835396972916668E-2"/>
          <c:y val="6.8562499564770785E-2"/>
          <c:w val="0.87391506202714986"/>
          <c:h val="0.72175509914551084"/>
        </c:manualLayout>
      </c:layout>
      <c:areaChart>
        <c:grouping val="stacked"/>
        <c:varyColors val="0"/>
        <c:ser>
          <c:idx val="0"/>
          <c:order val="0"/>
          <c:tx>
            <c:strRef>
              <c:f>'Sc RP4 energy '!$B$5</c:f>
              <c:strCache>
                <c:ptCount val="1"/>
                <c:pt idx="0">
                  <c:v>Coal Black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'!$C$5:$J$5</c:f>
              <c:numCache>
                <c:formatCode>0.0</c:formatCode>
                <c:ptCount val="8"/>
                <c:pt idx="0" formatCode="General">
                  <c:v>72</c:v>
                </c:pt>
                <c:pt idx="1">
                  <c:v>83.932840000000013</c:v>
                </c:pt>
                <c:pt idx="2">
                  <c:v>73.477689600000005</c:v>
                </c:pt>
                <c:pt idx="3">
                  <c:v>27.829407100000001</c:v>
                </c:pt>
                <c:pt idx="4">
                  <c:v>18.526261600000002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B-4775-B29D-82FA9774BF85}"/>
            </c:ext>
          </c:extLst>
        </c:ser>
        <c:ser>
          <c:idx val="1"/>
          <c:order val="1"/>
          <c:tx>
            <c:strRef>
              <c:f>'Sc RP4 energy '!$B$6</c:f>
              <c:strCache>
                <c:ptCount val="1"/>
                <c:pt idx="0">
                  <c:v>Coal Brown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'!$C$6:$J$6</c:f>
              <c:numCache>
                <c:formatCode>0.0</c:formatCode>
                <c:ptCount val="8"/>
                <c:pt idx="0" formatCode="General">
                  <c:v>36</c:v>
                </c:pt>
                <c:pt idx="1">
                  <c:v>17.206232200000002</c:v>
                </c:pt>
                <c:pt idx="2">
                  <c:v>11.1528636</c:v>
                </c:pt>
                <c:pt idx="3">
                  <c:v>7.8198334000000012</c:v>
                </c:pt>
                <c:pt idx="4">
                  <c:v>4.6315654000000004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B-4775-B29D-82FA9774BF85}"/>
            </c:ext>
          </c:extLst>
        </c:ser>
        <c:ser>
          <c:idx val="2"/>
          <c:order val="2"/>
          <c:tx>
            <c:strRef>
              <c:f>'Sc RP4 energy '!$B$7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'!$C$7:$J$7</c:f>
              <c:numCache>
                <c:formatCode>0.0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0.00">
                  <c:v>5.2484064000000004</c:v>
                </c:pt>
                <c:pt idx="3">
                  <c:v>56.118804400000002</c:v>
                </c:pt>
                <c:pt idx="4">
                  <c:v>99.213006199999995</c:v>
                </c:pt>
                <c:pt idx="5">
                  <c:v>155.4788638</c:v>
                </c:pt>
                <c:pt idx="6">
                  <c:v>179.47610240000003</c:v>
                </c:pt>
                <c:pt idx="7">
                  <c:v>206.59051789999998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6B-4775-B29D-82FA9774BF85}"/>
            </c:ext>
          </c:extLst>
        </c:ser>
        <c:ser>
          <c:idx val="3"/>
          <c:order val="3"/>
          <c:tx>
            <c:strRef>
              <c:f>'Sc RP4 energy '!$B$8</c:f>
              <c:strCache>
                <c:ptCount val="1"/>
                <c:pt idx="0">
                  <c:v>Peaking Gas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'!$C$8:$J$8</c:f>
              <c:numCache>
                <c:formatCode>0.0</c:formatCode>
                <c:ptCount val="8"/>
                <c:pt idx="0" formatCode="General">
                  <c:v>0</c:v>
                </c:pt>
                <c:pt idx="1">
                  <c:v>0.20983210000000002</c:v>
                </c:pt>
                <c:pt idx="2">
                  <c:v>11.3715472</c:v>
                </c:pt>
                <c:pt idx="3">
                  <c:v>12.4197354</c:v>
                </c:pt>
                <c:pt idx="4">
                  <c:v>1.9501328000000002</c:v>
                </c:pt>
                <c:pt idx="5">
                  <c:v>1.0399924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6B-4775-B29D-82FA9774BF85}"/>
            </c:ext>
          </c:extLst>
        </c:ser>
        <c:ser>
          <c:idx val="4"/>
          <c:order val="4"/>
          <c:tx>
            <c:strRef>
              <c:f>'Sc RP4 energy '!$B$9</c:f>
              <c:strCache>
                <c:ptCount val="1"/>
                <c:pt idx="0">
                  <c:v>CCG+CCS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'!$C$9:$J$9</c:f>
              <c:numCache>
                <c:formatCode>0.0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6B-4775-B29D-82FA9774BF85}"/>
            </c:ext>
          </c:extLst>
        </c:ser>
        <c:ser>
          <c:idx val="5"/>
          <c:order val="5"/>
          <c:tx>
            <c:strRef>
              <c:f>'Sc RP4 energy '!$B$10</c:f>
              <c:strCache>
                <c:ptCount val="1"/>
                <c:pt idx="0">
                  <c:v>CCG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'!$C$10:$J$10</c:f>
              <c:numCache>
                <c:formatCode>0.0</c:formatCode>
                <c:ptCount val="8"/>
                <c:pt idx="0" formatCode="General">
                  <c:v>7.1999999999999993</c:v>
                </c:pt>
                <c:pt idx="1">
                  <c:v>19.094721100000001</c:v>
                </c:pt>
                <c:pt idx="2">
                  <c:v>12.027598000000001</c:v>
                </c:pt>
                <c:pt idx="3">
                  <c:v>20.699559000000001</c:v>
                </c:pt>
                <c:pt idx="4">
                  <c:v>19.988861200000002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6B-4775-B29D-82FA9774BF85}"/>
            </c:ext>
          </c:extLst>
        </c:ser>
        <c:ser>
          <c:idx val="6"/>
          <c:order val="6"/>
          <c:tx>
            <c:strRef>
              <c:f>'Sc RP4 energy '!$B$11</c:f>
              <c:strCache>
                <c:ptCount val="1"/>
                <c:pt idx="0">
                  <c:v>Solar R/T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'!$C$11:$J$11</c:f>
              <c:numCache>
                <c:formatCode>0.0</c:formatCode>
                <c:ptCount val="8"/>
                <c:pt idx="0">
                  <c:v>25</c:v>
                </c:pt>
                <c:pt idx="1">
                  <c:v>32.523975500000006</c:v>
                </c:pt>
                <c:pt idx="2">
                  <c:v>32.583856400000002</c:v>
                </c:pt>
                <c:pt idx="3">
                  <c:v>32.659304200000001</c:v>
                </c:pt>
                <c:pt idx="4">
                  <c:v>32.664724400000004</c:v>
                </c:pt>
                <c:pt idx="5">
                  <c:v>34.319749200000004</c:v>
                </c:pt>
                <c:pt idx="6">
                  <c:v>34.000131200000006</c:v>
                </c:pt>
                <c:pt idx="7">
                  <c:v>33.582203200000002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6B-4775-B29D-82FA9774BF85}"/>
            </c:ext>
          </c:extLst>
        </c:ser>
        <c:ser>
          <c:idx val="7"/>
          <c:order val="7"/>
          <c:tx>
            <c:strRef>
              <c:f>'Sc RP4 energy '!$B$12</c:f>
              <c:strCache>
                <c:ptCount val="1"/>
                <c:pt idx="0">
                  <c:v>Solr UT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'!$C$12:$J$12</c:f>
              <c:numCache>
                <c:formatCode>0.0</c:formatCode>
                <c:ptCount val="8"/>
                <c:pt idx="0" formatCode="General">
                  <c:v>17.8</c:v>
                </c:pt>
                <c:pt idx="1">
                  <c:v>16.996400100000002</c:v>
                </c:pt>
                <c:pt idx="2">
                  <c:v>20.1188912</c:v>
                </c:pt>
                <c:pt idx="3">
                  <c:v>20.009573700000001</c:v>
                </c:pt>
                <c:pt idx="4">
                  <c:v>18.770028200000002</c:v>
                </c:pt>
                <c:pt idx="5">
                  <c:v>16.3798803</c:v>
                </c:pt>
                <c:pt idx="6">
                  <c:v>14.770548800000002</c:v>
                </c:pt>
                <c:pt idx="7">
                  <c:v>12.893167299999998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6B-4775-B29D-82FA9774BF85}"/>
            </c:ext>
          </c:extLst>
        </c:ser>
        <c:ser>
          <c:idx val="8"/>
          <c:order val="8"/>
          <c:tx>
            <c:strRef>
              <c:f>'Sc RP4 energy '!$B$13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'!$C$13:$J$13</c:f>
              <c:numCache>
                <c:formatCode>0.0</c:formatCode>
                <c:ptCount val="8"/>
                <c:pt idx="0" formatCode="General">
                  <c:v>28.199999999999996</c:v>
                </c:pt>
                <c:pt idx="1">
                  <c:v>27.488005100000006</c:v>
                </c:pt>
                <c:pt idx="2">
                  <c:v>40.893833200000003</c:v>
                </c:pt>
                <c:pt idx="3">
                  <c:v>40.249142499999998</c:v>
                </c:pt>
                <c:pt idx="4">
                  <c:v>35.589923599999999</c:v>
                </c:pt>
                <c:pt idx="5">
                  <c:v>41.079699800000007</c:v>
                </c:pt>
                <c:pt idx="6">
                  <c:v>37.065716800000004</c:v>
                </c:pt>
                <c:pt idx="7">
                  <c:v>33.2823621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6B-4775-B29D-82FA9774BF85}"/>
            </c:ext>
          </c:extLst>
        </c:ser>
        <c:ser>
          <c:idx val="9"/>
          <c:order val="9"/>
          <c:tx>
            <c:strRef>
              <c:f>'Sc RP4 energy '!$B$14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'!$C$14:$J$14</c:f>
              <c:numCache>
                <c:formatCode>0.0</c:formatCode>
                <c:ptCount val="8"/>
                <c:pt idx="0" formatCode="General">
                  <c:v>13.600000000000001</c:v>
                </c:pt>
                <c:pt idx="1">
                  <c:v>13.639086500000003</c:v>
                </c:pt>
                <c:pt idx="2">
                  <c:v>13.7770668</c:v>
                </c:pt>
                <c:pt idx="3">
                  <c:v>13.799706</c:v>
                </c:pt>
                <c:pt idx="4">
                  <c:v>13.650929600000001</c:v>
                </c:pt>
                <c:pt idx="5">
                  <c:v>13.519901200000001</c:v>
                </c:pt>
                <c:pt idx="6">
                  <c:v>13.655790400000003</c:v>
                </c:pt>
                <c:pt idx="7">
                  <c:v>13.492849499999998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6B-4775-B29D-82FA9774BF85}"/>
            </c:ext>
          </c:extLst>
        </c:ser>
        <c:ser>
          <c:idx val="10"/>
          <c:order val="10"/>
          <c:tx>
            <c:strRef>
              <c:f>'Sc RP4 energy '!$B$15</c:f>
              <c:strCache>
                <c:ptCount val="1"/>
                <c:pt idx="0">
                  <c:v>Hybrid Store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'!$C$15:$J$15</c:f>
              <c:numCache>
                <c:formatCode>0.0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6B-4775-B29D-82FA9774BF85}"/>
            </c:ext>
          </c:extLst>
        </c:ser>
        <c:ser>
          <c:idx val="11"/>
          <c:order val="11"/>
          <c:tx>
            <c:strRef>
              <c:f>'Sc RP4 energy '!$B$16</c:f>
              <c:strCache>
                <c:ptCount val="1"/>
                <c:pt idx="0">
                  <c:v>P/Store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'!$C$16:$J$16</c:f>
              <c:numCache>
                <c:formatCode>0.0</c:formatCode>
                <c:ptCount val="8"/>
                <c:pt idx="0" formatCode="General">
                  <c:v>0</c:v>
                </c:pt>
                <c:pt idx="1">
                  <c:v>-1.0491605000000002</c:v>
                </c:pt>
                <c:pt idx="2">
                  <c:v>-1.5307852000000002</c:v>
                </c:pt>
                <c:pt idx="3">
                  <c:v>-1.3799706</c:v>
                </c:pt>
                <c:pt idx="4">
                  <c:v>-0.97506640000000011</c:v>
                </c:pt>
                <c:pt idx="5">
                  <c:v>-1.5599886000000001</c:v>
                </c:pt>
                <c:pt idx="6">
                  <c:v>-0.27868960000000004</c:v>
                </c:pt>
                <c:pt idx="7">
                  <c:v>-0.29984109999999997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6B-4775-B29D-82FA9774BF85}"/>
            </c:ext>
          </c:extLst>
        </c:ser>
        <c:ser>
          <c:idx val="12"/>
          <c:order val="12"/>
          <c:tx>
            <c:strRef>
              <c:f>'Sc RP4 energy '!$B$17</c:f>
              <c:strCache>
                <c:ptCount val="1"/>
                <c:pt idx="0">
                  <c:v>Batteries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'Sc RP4 energy '!$C$20:$J$20</c:f>
              <c:numCache>
                <c:formatCode>mmm\-yy</c:formatCode>
                <c:ptCount val="8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51318</c:v>
                </c:pt>
                <c:pt idx="4">
                  <c:v>53144</c:v>
                </c:pt>
                <c:pt idx="5">
                  <c:v>54970</c:v>
                </c:pt>
                <c:pt idx="6">
                  <c:v>56796</c:v>
                </c:pt>
                <c:pt idx="7">
                  <c:v>58623</c:v>
                </c:pt>
              </c:numCache>
            </c:numRef>
          </c:cat>
          <c:val>
            <c:numRef>
              <c:f>'Sc RP4 energy '!$C$17:$J$17</c:f>
              <c:numCache>
                <c:formatCode>0.0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C-386B-4775-B29D-82FA9774B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031792"/>
        <c:axId val="888927888"/>
      </c:areaChart>
      <c:lineChart>
        <c:grouping val="standard"/>
        <c:varyColors val="0"/>
        <c:ser>
          <c:idx val="13"/>
          <c:order val="13"/>
          <c:tx>
            <c:v>Emissions Intensity LCA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C00000"/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439114567360315E-2"/>
                  <c:y val="-1.7851342593151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6B-4775-B29D-82FA9774BF85}"/>
                </c:ext>
              </c:extLst>
            </c:dLbl>
            <c:dLbl>
              <c:idx val="7"/>
              <c:layout>
                <c:manualLayout>
                  <c:x val="2.0558779533718749E-2"/>
                  <c:y val="-1.9338954475913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6B-4775-B29D-82FA9774BF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6B-4775-B29D-82FA9774BF85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6B-4775-B29D-82FA9774BF85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6B-4775-B29D-82FA9774BF85}"/>
                </c:ext>
              </c:extLst>
            </c:dLbl>
            <c:dLbl>
              <c:idx val="27"/>
              <c:layout>
                <c:manualLayout>
                  <c:x val="-2.2375830438423564E-3"/>
                  <c:y val="-1.673040467819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6B-4775-B29D-82FA9774BF85}"/>
                </c:ext>
              </c:extLst>
            </c:dLbl>
            <c:dLbl>
              <c:idx val="32"/>
              <c:layout>
                <c:manualLayout>
                  <c:x val="-1.1187915219211782E-2"/>
                  <c:y val="-1.977229643786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6B-4775-B29D-82FA9774BF85}"/>
                </c:ext>
              </c:extLst>
            </c:dLbl>
            <c:dLbl>
              <c:idx val="37"/>
              <c:layout>
                <c:manualLayout>
                  <c:x val="-3.0207371091871812E-2"/>
                  <c:y val="-2.1293242317696484E-2"/>
                </c:manualLayout>
              </c:layout>
              <c:tx>
                <c:rich>
                  <a:bodyPr/>
                  <a:lstStyle/>
                  <a:p>
                    <a:fld id="{D45490A2-2A53-457E-8185-1A110DB0863F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endParaRPr lang="en-A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386B-4775-B29D-82FA9774B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'Sc RP4'!$C$29:$AN$29</c:f>
              <c:numCache>
                <c:formatCode>0.0</c:formatCode>
                <c:ptCount val="38"/>
                <c:pt idx="0" formatCode="General">
                  <c:v>595</c:v>
                </c:pt>
                <c:pt idx="1">
                  <c:v>585.57142857142856</c:v>
                </c:pt>
                <c:pt idx="2">
                  <c:v>576.14285714285711</c:v>
                </c:pt>
                <c:pt idx="3">
                  <c:v>566.71428571428567</c:v>
                </c:pt>
                <c:pt idx="4">
                  <c:v>557.28571428571422</c:v>
                </c:pt>
                <c:pt idx="5">
                  <c:v>547.85714285714278</c:v>
                </c:pt>
                <c:pt idx="6">
                  <c:v>538.42857142857133</c:v>
                </c:pt>
                <c:pt idx="7" formatCode="General">
                  <c:v>529</c:v>
                </c:pt>
                <c:pt idx="8" formatCode="0.00">
                  <c:v>517.20000000000005</c:v>
                </c:pt>
                <c:pt idx="9" formatCode="0.00">
                  <c:v>505.40000000000003</c:v>
                </c:pt>
                <c:pt idx="10" formatCode="0.00">
                  <c:v>493.6</c:v>
                </c:pt>
                <c:pt idx="11" formatCode="0.00">
                  <c:v>481.8</c:v>
                </c:pt>
                <c:pt idx="12" formatCode="General">
                  <c:v>470</c:v>
                </c:pt>
                <c:pt idx="13" formatCode="0.00">
                  <c:v>423</c:v>
                </c:pt>
                <c:pt idx="14" formatCode="0.00">
                  <c:v>376</c:v>
                </c:pt>
                <c:pt idx="15" formatCode="0.00">
                  <c:v>329</c:v>
                </c:pt>
                <c:pt idx="16" formatCode="0.00">
                  <c:v>282</c:v>
                </c:pt>
                <c:pt idx="17" formatCode="General">
                  <c:v>235</c:v>
                </c:pt>
                <c:pt idx="18" formatCode="0">
                  <c:v>223</c:v>
                </c:pt>
                <c:pt idx="19" formatCode="0">
                  <c:v>211</c:v>
                </c:pt>
                <c:pt idx="20" formatCode="0">
                  <c:v>199</c:v>
                </c:pt>
                <c:pt idx="21" formatCode="0">
                  <c:v>187</c:v>
                </c:pt>
                <c:pt idx="22" formatCode="General">
                  <c:v>175</c:v>
                </c:pt>
                <c:pt idx="23" formatCode="0">
                  <c:v>149.6</c:v>
                </c:pt>
                <c:pt idx="24" formatCode="0">
                  <c:v>124.19999999999999</c:v>
                </c:pt>
                <c:pt idx="25" formatCode="0">
                  <c:v>98.799999999999983</c:v>
                </c:pt>
                <c:pt idx="26" formatCode="0">
                  <c:v>73.399999999999977</c:v>
                </c:pt>
                <c:pt idx="27" formatCode="General">
                  <c:v>48</c:v>
                </c:pt>
                <c:pt idx="28" formatCode="0">
                  <c:v>47</c:v>
                </c:pt>
                <c:pt idx="29" formatCode="0">
                  <c:v>46</c:v>
                </c:pt>
                <c:pt idx="30" formatCode="0">
                  <c:v>45</c:v>
                </c:pt>
                <c:pt idx="31" formatCode="0">
                  <c:v>44</c:v>
                </c:pt>
                <c:pt idx="32" formatCode="General">
                  <c:v>43</c:v>
                </c:pt>
                <c:pt idx="33" formatCode="0">
                  <c:v>42.6</c:v>
                </c:pt>
                <c:pt idx="34" formatCode="0">
                  <c:v>42.2</c:v>
                </c:pt>
                <c:pt idx="35" formatCode="0">
                  <c:v>41.800000000000004</c:v>
                </c:pt>
                <c:pt idx="36" formatCode="0">
                  <c:v>41.400000000000006</c:v>
                </c:pt>
                <c:pt idx="37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86B-4775-B29D-82FA9774BF85}"/>
            </c:ext>
          </c:extLst>
        </c:ser>
        <c:ser>
          <c:idx val="14"/>
          <c:order val="14"/>
          <c:tx>
            <c:v>Emissions Fuel</c:v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lg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169754719609504E-2"/>
                  <c:y val="2.7358543405298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8-419B-A1ED-B25DDFCC34F5}"/>
                </c:ext>
              </c:extLst>
            </c:dLbl>
            <c:dLbl>
              <c:idx val="7"/>
              <c:layout>
                <c:manualLayout>
                  <c:x val="-4.8654226055722477E-2"/>
                  <c:y val="7.599595390360697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F8-419B-A1ED-B25DDFCC34F5}"/>
                </c:ext>
              </c:extLst>
            </c:dLbl>
            <c:dLbl>
              <c:idx val="12"/>
              <c:layout>
                <c:manualLayout>
                  <c:x val="-3.3937584721047263E-2"/>
                  <c:y val="2.7358543405298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F8-419B-A1ED-B25DDFCC34F5}"/>
                </c:ext>
              </c:extLst>
            </c:dLbl>
            <c:dLbl>
              <c:idx val="17"/>
              <c:layout>
                <c:manualLayout>
                  <c:x val="-3.0784018720759677E-2"/>
                  <c:y val="2.2798786171082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F8-419B-A1ED-B25DDFCC34F5}"/>
                </c:ext>
              </c:extLst>
            </c:dLbl>
            <c:dLbl>
              <c:idx val="22"/>
              <c:layout>
                <c:manualLayout>
                  <c:x val="-5.2858980722772571E-2"/>
                  <c:y val="1.2159352624577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F8-419B-A1ED-B25DDFCC34F5}"/>
                </c:ext>
              </c:extLst>
            </c:dLbl>
            <c:dLbl>
              <c:idx val="27"/>
              <c:layout>
                <c:manualLayout>
                  <c:x val="-2.2022816422480507E-3"/>
                  <c:y val="-1.5199190780721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F8-419B-A1ED-B25DDFCC34F5}"/>
                </c:ext>
              </c:extLst>
            </c:dLbl>
            <c:dLbl>
              <c:idx val="32"/>
              <c:layout>
                <c:manualLayout>
                  <c:x val="-1.2714168309873203E-2"/>
                  <c:y val="-1.367927170264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F8-419B-A1ED-B25DDFCC34F5}"/>
                </c:ext>
              </c:extLst>
            </c:dLbl>
            <c:dLbl>
              <c:idx val="37"/>
              <c:layout>
                <c:manualLayout>
                  <c:x val="-2.4277243644260871E-2"/>
                  <c:y val="-1.367927170264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F8-419B-A1ED-B25DDFCC34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'Sc RP4'!$C$28:$AN$28</c:f>
              <c:numCache>
                <c:formatCode>0.0</c:formatCode>
                <c:ptCount val="38"/>
                <c:pt idx="0" formatCode="General">
                  <c:v>556</c:v>
                </c:pt>
                <c:pt idx="1">
                  <c:v>545.42857142857144</c:v>
                </c:pt>
                <c:pt idx="2">
                  <c:v>534.85714285714289</c:v>
                </c:pt>
                <c:pt idx="3">
                  <c:v>524.28571428571433</c:v>
                </c:pt>
                <c:pt idx="4">
                  <c:v>513.71428571428578</c:v>
                </c:pt>
                <c:pt idx="5">
                  <c:v>503.14285714285722</c:v>
                </c:pt>
                <c:pt idx="6">
                  <c:v>492.57142857142867</c:v>
                </c:pt>
                <c:pt idx="7" formatCode="General">
                  <c:v>482</c:v>
                </c:pt>
                <c:pt idx="8" formatCode="0.00">
                  <c:v>469.8</c:v>
                </c:pt>
                <c:pt idx="9" formatCode="0.00">
                  <c:v>457.6</c:v>
                </c:pt>
                <c:pt idx="10" formatCode="0.00">
                  <c:v>445.40000000000003</c:v>
                </c:pt>
                <c:pt idx="11" formatCode="0.00">
                  <c:v>433.20000000000005</c:v>
                </c:pt>
                <c:pt idx="12" formatCode="General">
                  <c:v>421</c:v>
                </c:pt>
                <c:pt idx="13" formatCode="0.00">
                  <c:v>373.4</c:v>
                </c:pt>
                <c:pt idx="14" formatCode="0.00">
                  <c:v>325.79999999999995</c:v>
                </c:pt>
                <c:pt idx="15" formatCode="0.00">
                  <c:v>278.19999999999993</c:v>
                </c:pt>
                <c:pt idx="16" formatCode="0.00">
                  <c:v>230.59999999999994</c:v>
                </c:pt>
                <c:pt idx="17" formatCode="General">
                  <c:v>183</c:v>
                </c:pt>
                <c:pt idx="18" formatCode="0">
                  <c:v>172.8</c:v>
                </c:pt>
                <c:pt idx="19" formatCode="0">
                  <c:v>162.60000000000002</c:v>
                </c:pt>
                <c:pt idx="20" formatCode="0">
                  <c:v>152.40000000000003</c:v>
                </c:pt>
                <c:pt idx="21" formatCode="0">
                  <c:v>142.20000000000005</c:v>
                </c:pt>
                <c:pt idx="22" formatCode="General">
                  <c:v>132</c:v>
                </c:pt>
                <c:pt idx="23" formatCode="0">
                  <c:v>106.2</c:v>
                </c:pt>
                <c:pt idx="24" formatCode="0">
                  <c:v>80.400000000000006</c:v>
                </c:pt>
                <c:pt idx="25" formatCode="0">
                  <c:v>54.600000000000009</c:v>
                </c:pt>
                <c:pt idx="26" formatCode="0">
                  <c:v>28.800000000000008</c:v>
                </c:pt>
                <c:pt idx="27" formatCode="General">
                  <c:v>3</c:v>
                </c:pt>
                <c:pt idx="28" formatCode="0">
                  <c:v>2.4</c:v>
                </c:pt>
                <c:pt idx="29" formatCode="0">
                  <c:v>1.7999999999999998</c:v>
                </c:pt>
                <c:pt idx="30" formatCode="0">
                  <c:v>1.1999999999999997</c:v>
                </c:pt>
                <c:pt idx="31" formatCode="0">
                  <c:v>0.59999999999999976</c:v>
                </c:pt>
                <c:pt idx="32" formatCode="General">
                  <c:v>0</c:v>
                </c:pt>
                <c:pt idx="33" formatCode="0">
                  <c:v>0</c:v>
                </c:pt>
                <c:pt idx="34" formatCode="0">
                  <c:v>0</c:v>
                </c:pt>
                <c:pt idx="35" formatCode="0">
                  <c:v>0</c:v>
                </c:pt>
                <c:pt idx="36" formatCode="0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8-419B-A1ED-B25DDFCC3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631696"/>
        <c:axId val="498698944"/>
      </c:lineChart>
      <c:dateAx>
        <c:axId val="97303179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200" b="1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927888"/>
        <c:crosses val="autoZero"/>
        <c:auto val="1"/>
        <c:lblOffset val="100"/>
        <c:baseTimeUnit val="years"/>
      </c:dateAx>
      <c:valAx>
        <c:axId val="8889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Eeleectrical Energy Production TWh/yr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031792"/>
        <c:crosses val="autoZero"/>
        <c:crossBetween val="between"/>
      </c:valAx>
      <c:valAx>
        <c:axId val="498698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Emissions Intensity LCA gr CO2e/kWh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31696"/>
        <c:crosses val="max"/>
        <c:crossBetween val="between"/>
      </c:valAx>
      <c:catAx>
        <c:axId val="1075631696"/>
        <c:scaling>
          <c:orientation val="minMax"/>
        </c:scaling>
        <c:delete val="1"/>
        <c:axPos val="b"/>
        <c:majorTickMark val="out"/>
        <c:minorTickMark val="none"/>
        <c:tickLblPos val="nextTo"/>
        <c:crossAx val="49869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505203004965"/>
          <c:y val="0.91243584367841413"/>
          <c:w val="0.88150322628011402"/>
          <c:h val="8.7564213589081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Sum Generation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437301885728837E-2"/>
          <c:y val="0.10987032937525174"/>
          <c:w val="0.91094688487217468"/>
          <c:h val="0.7215631333754929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xVal>
          <c:yVal>
            <c:numRef>
              <c:f>'Sc RP4'!$C$21:$AN$21</c:f>
              <c:numCache>
                <c:formatCode>0</c:formatCode>
                <c:ptCount val="38"/>
                <c:pt idx="0">
                  <c:v>82.804000000000002</c:v>
                </c:pt>
                <c:pt idx="1">
                  <c:v>81.356714285714276</c:v>
                </c:pt>
                <c:pt idx="2">
                  <c:v>79.896428571428558</c:v>
                </c:pt>
                <c:pt idx="3">
                  <c:v>81.31614285714285</c:v>
                </c:pt>
                <c:pt idx="4">
                  <c:v>82.735857142857128</c:v>
                </c:pt>
                <c:pt idx="5">
                  <c:v>82.677571428571412</c:v>
                </c:pt>
                <c:pt idx="6">
                  <c:v>83.395285714285706</c:v>
                </c:pt>
                <c:pt idx="7">
                  <c:v>84.814999999999998</c:v>
                </c:pt>
                <c:pt idx="8">
                  <c:v>84.914000000000001</c:v>
                </c:pt>
                <c:pt idx="9">
                  <c:v>85.015000000000001</c:v>
                </c:pt>
                <c:pt idx="10">
                  <c:v>85.11399999999999</c:v>
                </c:pt>
                <c:pt idx="11">
                  <c:v>85.513000000000005</c:v>
                </c:pt>
                <c:pt idx="12">
                  <c:v>84.089999999999989</c:v>
                </c:pt>
                <c:pt idx="13">
                  <c:v>82.435999999999993</c:v>
                </c:pt>
                <c:pt idx="14">
                  <c:v>82.63</c:v>
                </c:pt>
                <c:pt idx="15">
                  <c:v>83.780999999999992</c:v>
                </c:pt>
                <c:pt idx="16">
                  <c:v>85.374999999999986</c:v>
                </c:pt>
                <c:pt idx="17">
                  <c:v>85.568999999999988</c:v>
                </c:pt>
                <c:pt idx="18">
                  <c:v>86.386199999999988</c:v>
                </c:pt>
                <c:pt idx="19">
                  <c:v>86.453399999999988</c:v>
                </c:pt>
                <c:pt idx="20">
                  <c:v>87.270599999999988</c:v>
                </c:pt>
                <c:pt idx="21">
                  <c:v>88.087799999999987</c:v>
                </c:pt>
                <c:pt idx="22">
                  <c:v>88.904999999999987</c:v>
                </c:pt>
                <c:pt idx="23">
                  <c:v>89.98439999999998</c:v>
                </c:pt>
                <c:pt idx="24">
                  <c:v>91.063799999999986</c:v>
                </c:pt>
                <c:pt idx="25">
                  <c:v>92.143199999999993</c:v>
                </c:pt>
                <c:pt idx="26">
                  <c:v>93.2226</c:v>
                </c:pt>
                <c:pt idx="27">
                  <c:v>93.249999999999986</c:v>
                </c:pt>
                <c:pt idx="28">
                  <c:v>93.584199999999996</c:v>
                </c:pt>
                <c:pt idx="29">
                  <c:v>93.918400000000005</c:v>
                </c:pt>
                <c:pt idx="30">
                  <c:v>94.252599999999987</c:v>
                </c:pt>
                <c:pt idx="31">
                  <c:v>94.586799999999997</c:v>
                </c:pt>
                <c:pt idx="32">
                  <c:v>94.920999999999978</c:v>
                </c:pt>
                <c:pt idx="33">
                  <c:v>95.868399999999994</c:v>
                </c:pt>
                <c:pt idx="34">
                  <c:v>96.815799999999982</c:v>
                </c:pt>
                <c:pt idx="35">
                  <c:v>97.763199999999998</c:v>
                </c:pt>
                <c:pt idx="36">
                  <c:v>98.710599999999985</c:v>
                </c:pt>
                <c:pt idx="37">
                  <c:v>99.658000000000001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B2-42CA-B77E-1B480D8FA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66048"/>
        <c:axId val="119901760"/>
      </c:scatterChart>
      <c:valAx>
        <c:axId val="240966048"/>
        <c:scaling>
          <c:orientation val="minMax"/>
          <c:min val="4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342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01760"/>
        <c:crosses val="autoZero"/>
        <c:crossBetween val="midCat"/>
        <c:majorUnit val="730"/>
      </c:valAx>
      <c:valAx>
        <c:axId val="11990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966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Population, Demand Nuke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968233336628712E-2"/>
          <c:y val="0.10360325024020103"/>
          <c:w val="0.7991266864073624"/>
          <c:h val="0.59935737077681972"/>
        </c:manualLayout>
      </c:layout>
      <c:lineChart>
        <c:grouping val="stacked"/>
        <c:varyColors val="0"/>
        <c:ser>
          <c:idx val="0"/>
          <c:order val="0"/>
          <c:tx>
            <c:v>Demand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RP4'!$C$24:$AN$24</c:f>
              <c:numCache>
                <c:formatCode>0.0</c:formatCode>
                <c:ptCount val="38"/>
                <c:pt idx="0" formatCode="General">
                  <c:v>201.5728</c:v>
                </c:pt>
                <c:pt idx="1">
                  <c:v>202.45750000000001</c:v>
                </c:pt>
                <c:pt idx="2">
                  <c:v>203.44060000000002</c:v>
                </c:pt>
                <c:pt idx="3">
                  <c:v>204.52210000000002</c:v>
                </c:pt>
                <c:pt idx="4">
                  <c:v>205.702</c:v>
                </c:pt>
                <c:pt idx="5">
                  <c:v>206.9803</c:v>
                </c:pt>
                <c:pt idx="6">
                  <c:v>208.35700000000003</c:v>
                </c:pt>
                <c:pt idx="7">
                  <c:v>209.83210000000003</c:v>
                </c:pt>
                <c:pt idx="8">
                  <c:v>211.40560000000002</c:v>
                </c:pt>
                <c:pt idx="9">
                  <c:v>213.07750000000001</c:v>
                </c:pt>
                <c:pt idx="10">
                  <c:v>214.84780000000001</c:v>
                </c:pt>
                <c:pt idx="11">
                  <c:v>216.7165</c:v>
                </c:pt>
                <c:pt idx="12">
                  <c:v>218.68360000000001</c:v>
                </c:pt>
                <c:pt idx="13">
                  <c:v>220.7491</c:v>
                </c:pt>
                <c:pt idx="14">
                  <c:v>222.91300000000001</c:v>
                </c:pt>
                <c:pt idx="15">
                  <c:v>225.17530000000002</c:v>
                </c:pt>
                <c:pt idx="16">
                  <c:v>227.536</c:v>
                </c:pt>
                <c:pt idx="17">
                  <c:v>229.99510000000001</c:v>
                </c:pt>
                <c:pt idx="18">
                  <c:v>232.55260000000004</c:v>
                </c:pt>
                <c:pt idx="19">
                  <c:v>235.20850000000002</c:v>
                </c:pt>
                <c:pt idx="20">
                  <c:v>237.96280000000002</c:v>
                </c:pt>
                <c:pt idx="21">
                  <c:v>240.81550000000001</c:v>
                </c:pt>
                <c:pt idx="22">
                  <c:v>243.76660000000001</c:v>
                </c:pt>
                <c:pt idx="23">
                  <c:v>246.81610000000003</c:v>
                </c:pt>
                <c:pt idx="24">
                  <c:v>249.964</c:v>
                </c:pt>
                <c:pt idx="25">
                  <c:v>253.21030000000002</c:v>
                </c:pt>
                <c:pt idx="26">
                  <c:v>256.55500000000001</c:v>
                </c:pt>
                <c:pt idx="27" formatCode="General">
                  <c:v>259.99810000000002</c:v>
                </c:pt>
                <c:pt idx="28">
                  <c:v>263.53960000000001</c:v>
                </c:pt>
                <c:pt idx="29">
                  <c:v>267.17950000000002</c:v>
                </c:pt>
                <c:pt idx="30">
                  <c:v>270.9178</c:v>
                </c:pt>
                <c:pt idx="31">
                  <c:v>274.75450000000001</c:v>
                </c:pt>
                <c:pt idx="32">
                  <c:v>278.68960000000004</c:v>
                </c:pt>
                <c:pt idx="33">
                  <c:v>282.72310000000004</c:v>
                </c:pt>
                <c:pt idx="34">
                  <c:v>286.85500000000002</c:v>
                </c:pt>
                <c:pt idx="35">
                  <c:v>291.08530000000002</c:v>
                </c:pt>
                <c:pt idx="36">
                  <c:v>295.41399999999999</c:v>
                </c:pt>
                <c:pt idx="37">
                  <c:v>299.84109999999998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A9-41E6-A453-D6BF6A0AC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208848"/>
        <c:axId val="1018593648"/>
      </c:lineChart>
      <c:lineChart>
        <c:grouping val="standard"/>
        <c:varyColors val="0"/>
        <c:ser>
          <c:idx val="1"/>
          <c:order val="1"/>
          <c:tx>
            <c:v>Population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RP4'!$C$32:$AN$32</c:f>
              <c:numCache>
                <c:formatCode>0</c:formatCode>
                <c:ptCount val="38"/>
                <c:pt idx="0">
                  <c:v>27.146999999999998</c:v>
                </c:pt>
                <c:pt idx="1">
                  <c:v>27.54457142857143</c:v>
                </c:pt>
                <c:pt idx="2">
                  <c:v>27.942142857142859</c:v>
                </c:pt>
                <c:pt idx="3">
                  <c:v>28.339714285714287</c:v>
                </c:pt>
                <c:pt idx="4">
                  <c:v>28.737285714285715</c:v>
                </c:pt>
                <c:pt idx="5">
                  <c:v>29.134857142857147</c:v>
                </c:pt>
                <c:pt idx="6">
                  <c:v>29.532428571428575</c:v>
                </c:pt>
                <c:pt idx="7">
                  <c:v>29.93</c:v>
                </c:pt>
                <c:pt idx="8">
                  <c:v>30.305399999999999</c:v>
                </c:pt>
                <c:pt idx="9">
                  <c:v>30.680800000000001</c:v>
                </c:pt>
                <c:pt idx="10">
                  <c:v>31.0562</c:v>
                </c:pt>
                <c:pt idx="11">
                  <c:v>31.4316</c:v>
                </c:pt>
                <c:pt idx="12">
                  <c:v>31.806999999999999</c:v>
                </c:pt>
                <c:pt idx="13">
                  <c:v>32.166200000000003</c:v>
                </c:pt>
                <c:pt idx="14">
                  <c:v>32.525399999999998</c:v>
                </c:pt>
                <c:pt idx="15">
                  <c:v>32.884599999999999</c:v>
                </c:pt>
                <c:pt idx="16">
                  <c:v>33.2438</c:v>
                </c:pt>
                <c:pt idx="17">
                  <c:v>33.603000000000002</c:v>
                </c:pt>
                <c:pt idx="18">
                  <c:v>33.952599999999997</c:v>
                </c:pt>
                <c:pt idx="19">
                  <c:v>34.302199999999999</c:v>
                </c:pt>
                <c:pt idx="20">
                  <c:v>34.651800000000001</c:v>
                </c:pt>
                <c:pt idx="21">
                  <c:v>35.001399999999997</c:v>
                </c:pt>
                <c:pt idx="22">
                  <c:v>35.350999999999999</c:v>
                </c:pt>
                <c:pt idx="23">
                  <c:v>35.696199999999997</c:v>
                </c:pt>
                <c:pt idx="24">
                  <c:v>36.041400000000003</c:v>
                </c:pt>
                <c:pt idx="25">
                  <c:v>36.386600000000001</c:v>
                </c:pt>
                <c:pt idx="26">
                  <c:v>36.7318</c:v>
                </c:pt>
                <c:pt idx="27">
                  <c:v>37.076999999999998</c:v>
                </c:pt>
                <c:pt idx="28">
                  <c:v>37.421799999999998</c:v>
                </c:pt>
                <c:pt idx="29">
                  <c:v>37.766599999999997</c:v>
                </c:pt>
                <c:pt idx="30">
                  <c:v>38.111400000000003</c:v>
                </c:pt>
                <c:pt idx="31">
                  <c:v>38.456200000000003</c:v>
                </c:pt>
                <c:pt idx="32">
                  <c:v>38.801000000000002</c:v>
                </c:pt>
                <c:pt idx="33">
                  <c:v>39.148000000000003</c:v>
                </c:pt>
                <c:pt idx="34">
                  <c:v>39.494999999999997</c:v>
                </c:pt>
                <c:pt idx="35">
                  <c:v>39.841999999999999</c:v>
                </c:pt>
                <c:pt idx="36">
                  <c:v>40.189</c:v>
                </c:pt>
                <c:pt idx="37">
                  <c:v>40.536000000000001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9-41E6-A453-D6BF6A0AC762}"/>
            </c:ext>
          </c:extLst>
        </c:ser>
        <c:ser>
          <c:idx val="2"/>
          <c:order val="2"/>
          <c:tx>
            <c:v>Nuclear Capacity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'Sc RP4'!$C$9:$AN$9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0.3</c:v>
                </c:pt>
                <c:pt idx="12" formatCode="0.00">
                  <c:v>0.63</c:v>
                </c:pt>
                <c:pt idx="13" formatCode="0.0">
                  <c:v>1.8639999999999999</c:v>
                </c:pt>
                <c:pt idx="14" formatCode="0.0">
                  <c:v>3.0979999999999999</c:v>
                </c:pt>
                <c:pt idx="15" formatCode="0.0">
                  <c:v>4.3319999999999999</c:v>
                </c:pt>
                <c:pt idx="16" formatCode="0.0">
                  <c:v>5.5659999999999998</c:v>
                </c:pt>
                <c:pt idx="17" formatCode="0.00">
                  <c:v>6.8</c:v>
                </c:pt>
                <c:pt idx="18" formatCode="0.0">
                  <c:v>7.9660000000000002</c:v>
                </c:pt>
                <c:pt idx="19" formatCode="0.0">
                  <c:v>9.1319999999999997</c:v>
                </c:pt>
                <c:pt idx="20" formatCode="0.0">
                  <c:v>10.298</c:v>
                </c:pt>
                <c:pt idx="21" formatCode="0.0">
                  <c:v>11.464</c:v>
                </c:pt>
                <c:pt idx="22" formatCode="0.00">
                  <c:v>12.63</c:v>
                </c:pt>
                <c:pt idx="23" formatCode="0.0">
                  <c:v>14.264000000000001</c:v>
                </c:pt>
                <c:pt idx="24" formatCode="0.0">
                  <c:v>15.898000000000001</c:v>
                </c:pt>
                <c:pt idx="25" formatCode="0.0">
                  <c:v>17.532</c:v>
                </c:pt>
                <c:pt idx="26" formatCode="0.0">
                  <c:v>19.166</c:v>
                </c:pt>
                <c:pt idx="27" formatCode="0.00">
                  <c:v>20.8</c:v>
                </c:pt>
                <c:pt idx="28" formatCode="0.0">
                  <c:v>21.692600000000002</c:v>
                </c:pt>
                <c:pt idx="29" formatCode="0.0">
                  <c:v>22.585200000000004</c:v>
                </c:pt>
                <c:pt idx="30" formatCode="0.0">
                  <c:v>23.477800000000006</c:v>
                </c:pt>
                <c:pt idx="31" formatCode="0.0">
                  <c:v>24.370400000000007</c:v>
                </c:pt>
                <c:pt idx="32" formatCode="0.00">
                  <c:v>25.263000000000002</c:v>
                </c:pt>
                <c:pt idx="33" formatCode="0.0">
                  <c:v>26.2104</c:v>
                </c:pt>
                <c:pt idx="34" formatCode="0.0">
                  <c:v>27.157799999999998</c:v>
                </c:pt>
                <c:pt idx="35" formatCode="0.0">
                  <c:v>28.105199999999996</c:v>
                </c:pt>
                <c:pt idx="36" formatCode="0.0">
                  <c:v>29.052599999999995</c:v>
                </c:pt>
                <c:pt idx="37" formatCode="0.0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9-41E6-A453-D6BF6A0AC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624880"/>
        <c:axId val="1009012096"/>
      </c:lineChart>
      <c:dateAx>
        <c:axId val="127920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593648"/>
        <c:crosses val="autoZero"/>
        <c:auto val="1"/>
        <c:lblOffset val="100"/>
        <c:baseTimeUnit val="years"/>
      </c:dateAx>
      <c:valAx>
        <c:axId val="101859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Demand TWh/yr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208848"/>
        <c:crosses val="autoZero"/>
        <c:crossBetween val="between"/>
      </c:valAx>
      <c:valAx>
        <c:axId val="10090120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Population In Millions and Nuke Capacity in GW</a:t>
                </a:r>
              </a:p>
            </c:rich>
          </c:tx>
          <c:layout>
            <c:manualLayout>
              <c:xMode val="edge"/>
              <c:yMode val="edge"/>
              <c:x val="0.93156688519570652"/>
              <c:y val="0.368696245309682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24880"/>
        <c:crosses val="max"/>
        <c:crossBetween val="between"/>
      </c:valAx>
      <c:dateAx>
        <c:axId val="13116248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09012096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0317909876361"/>
          <c:y val="0.83381664107808395"/>
          <c:w val="0.3338290301009233"/>
          <c:h val="9.3014696707481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Generating Capacity WRT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'Sc RP4'!$B$7</c:f>
              <c:strCache>
                <c:ptCount val="1"/>
                <c:pt idx="0">
                  <c:v>Coal Black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RP4'!$C$7:$AN$7</c:f>
              <c:numCache>
                <c:formatCode>General</c:formatCode>
                <c:ptCount val="38"/>
                <c:pt idx="0">
                  <c:v>18.823</c:v>
                </c:pt>
                <c:pt idx="1">
                  <c:v>16.32</c:v>
                </c:pt>
                <c:pt idx="2">
                  <c:v>13.44</c:v>
                </c:pt>
                <c:pt idx="3">
                  <c:v>13.44</c:v>
                </c:pt>
                <c:pt idx="4">
                  <c:v>13.44</c:v>
                </c:pt>
                <c:pt idx="5">
                  <c:v>13.44</c:v>
                </c:pt>
                <c:pt idx="6">
                  <c:v>12.74</c:v>
                </c:pt>
                <c:pt idx="7">
                  <c:v>12.74</c:v>
                </c:pt>
                <c:pt idx="8" formatCode="0.00">
                  <c:v>12.192</c:v>
                </c:pt>
                <c:pt idx="9" formatCode="0.00">
                  <c:v>11.644</c:v>
                </c:pt>
                <c:pt idx="10" formatCode="0.00">
                  <c:v>11.096</c:v>
                </c:pt>
                <c:pt idx="11" formatCode="0.00">
                  <c:v>10.548</c:v>
                </c:pt>
                <c:pt idx="12">
                  <c:v>10</c:v>
                </c:pt>
                <c:pt idx="13">
                  <c:v>7.1</c:v>
                </c:pt>
                <c:pt idx="14">
                  <c:v>5.7</c:v>
                </c:pt>
                <c:pt idx="15">
                  <c:v>5.2569999999999997</c:v>
                </c:pt>
                <c:pt idx="16">
                  <c:v>5.2569999999999997</c:v>
                </c:pt>
                <c:pt idx="17">
                  <c:v>3.8570000000000002</c:v>
                </c:pt>
                <c:pt idx="18">
                  <c:v>3.8570000000000002</c:v>
                </c:pt>
                <c:pt idx="19">
                  <c:v>3.1070000000000002</c:v>
                </c:pt>
                <c:pt idx="20">
                  <c:v>3.1070000000000002</c:v>
                </c:pt>
                <c:pt idx="21">
                  <c:v>3.1070000000000002</c:v>
                </c:pt>
                <c:pt idx="22">
                  <c:v>3.1069999999999998</c:v>
                </c:pt>
                <c:pt idx="23">
                  <c:v>2.6959999999999997</c:v>
                </c:pt>
                <c:pt idx="24">
                  <c:v>2.2850000000000001</c:v>
                </c:pt>
                <c:pt idx="25">
                  <c:v>1.8740000000000001</c:v>
                </c:pt>
                <c:pt idx="26">
                  <c:v>1.4630000000000001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C-4D26-9CA2-1686B270D0EC}"/>
            </c:ext>
          </c:extLst>
        </c:ser>
        <c:ser>
          <c:idx val="1"/>
          <c:order val="1"/>
          <c:tx>
            <c:strRef>
              <c:f>'Sc RP4'!$B$8</c:f>
              <c:strCache>
                <c:ptCount val="1"/>
                <c:pt idx="0">
                  <c:v>Coal Brown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RP4'!$C$8:$AN$8</c:f>
              <c:numCache>
                <c:formatCode>General</c:formatCode>
                <c:ptCount val="38"/>
                <c:pt idx="0">
                  <c:v>5.0940000000000003</c:v>
                </c:pt>
                <c:pt idx="1">
                  <c:v>4.7300000000000004</c:v>
                </c:pt>
                <c:pt idx="2">
                  <c:v>4.7300000000000004</c:v>
                </c:pt>
                <c:pt idx="3">
                  <c:v>4.7300000000000004</c:v>
                </c:pt>
                <c:pt idx="4">
                  <c:v>4.7300000000000004</c:v>
                </c:pt>
                <c:pt idx="5">
                  <c:v>3.2519999999999998</c:v>
                </c:pt>
                <c:pt idx="6">
                  <c:v>3.25</c:v>
                </c:pt>
                <c:pt idx="7">
                  <c:v>3.25</c:v>
                </c:pt>
                <c:pt idx="8">
                  <c:v>3.25</c:v>
                </c:pt>
                <c:pt idx="9">
                  <c:v>3.2519999999999998</c:v>
                </c:pt>
                <c:pt idx="10">
                  <c:v>3.2519999999999998</c:v>
                </c:pt>
                <c:pt idx="11">
                  <c:v>3.2519999999999998</c:v>
                </c:pt>
                <c:pt idx="12">
                  <c:v>1.4</c:v>
                </c:pt>
                <c:pt idx="13">
                  <c:v>1.052</c:v>
                </c:pt>
                <c:pt idx="14">
                  <c:v>1.052</c:v>
                </c:pt>
                <c:pt idx="15">
                  <c:v>1.052</c:v>
                </c:pt>
                <c:pt idx="16">
                  <c:v>1.052</c:v>
                </c:pt>
                <c:pt idx="17">
                  <c:v>1.052</c:v>
                </c:pt>
                <c:pt idx="18">
                  <c:v>1.052</c:v>
                </c:pt>
                <c:pt idx="19">
                  <c:v>1.052</c:v>
                </c:pt>
                <c:pt idx="20">
                  <c:v>1.052</c:v>
                </c:pt>
                <c:pt idx="21">
                  <c:v>1.052</c:v>
                </c:pt>
                <c:pt idx="22">
                  <c:v>1.052</c:v>
                </c:pt>
                <c:pt idx="23" formatCode="0.000">
                  <c:v>0.84160000000000001</c:v>
                </c:pt>
                <c:pt idx="24" formatCode="0.000">
                  <c:v>0.63119999999999998</c:v>
                </c:pt>
                <c:pt idx="25" formatCode="0.000">
                  <c:v>0.42079999999999995</c:v>
                </c:pt>
                <c:pt idx="26" formatCode="0.000">
                  <c:v>0.21039999999999995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C-4D26-9CA2-1686B270D0EC}"/>
            </c:ext>
          </c:extLst>
        </c:ser>
        <c:ser>
          <c:idx val="2"/>
          <c:order val="2"/>
          <c:tx>
            <c:strRef>
              <c:f>'Sc RP4'!$B$9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FC-4D26-9CA2-1686B270D0E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FC-4D26-9CA2-1686B270D0E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FC-4D26-9CA2-1686B270D0E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FC-4D26-9CA2-1686B270D0E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FC-4D26-9CA2-1686B270D0E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FC-4D26-9CA2-1686B270D0E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FC-4D26-9CA2-1686B270D0E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FC-4D26-9CA2-1686B270D0E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FC-4D26-9CA2-1686B270D0E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FC-4D26-9CA2-1686B270D0E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FC-4D26-9CA2-1686B270D0E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FC-4D26-9CA2-1686B270D0E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FC-4D26-9CA2-1686B270D0E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FC-4D26-9CA2-1686B270D0E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FC-4D26-9CA2-1686B270D0EC}"/>
                </c:ext>
              </c:extLst>
            </c:dLbl>
            <c:dLbl>
              <c:idx val="17"/>
              <c:layout>
                <c:manualLayout>
                  <c:x val="8.696238901223546E-17"/>
                  <c:y val="-4.08090299136615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FC-4D26-9CA2-1686B270D0E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FC-4D26-9CA2-1686B270D0E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FC-4D26-9CA2-1686B270D0E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6FC-4D26-9CA2-1686B270D0E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FC-4D26-9CA2-1686B270D0EC}"/>
                </c:ext>
              </c:extLst>
            </c:dLbl>
            <c:dLbl>
              <c:idx val="22"/>
              <c:layout>
                <c:manualLayout>
                  <c:x val="3.5575933749207593E-3"/>
                  <c:y val="-3.2647223930929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FC-4D26-9CA2-1686B270D0E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FC-4D26-9CA2-1686B270D0E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FC-4D26-9CA2-1686B270D0EC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FC-4D26-9CA2-1686B270D0E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FC-4D26-9CA2-1686B270D0EC}"/>
                </c:ext>
              </c:extLst>
            </c:dLbl>
            <c:dLbl>
              <c:idx val="27"/>
              <c:layout>
                <c:manualLayout>
                  <c:x val="1.1858644583069198E-3"/>
                  <c:y val="-6.2573845867614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FC-4D26-9CA2-1686B270D0E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FC-4D26-9CA2-1686B270D0E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FC-4D26-9CA2-1686B270D0EC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FC-4D26-9CA2-1686B270D0EC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FC-4D26-9CA2-1686B270D0EC}"/>
                </c:ext>
              </c:extLst>
            </c:dLbl>
            <c:dLbl>
              <c:idx val="32"/>
              <c:layout>
                <c:manualLayout>
                  <c:x val="3.5575933749207593E-3"/>
                  <c:y val="-8.4338661821567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6FC-4D26-9CA2-1686B270D0EC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6FC-4D26-9CA2-1686B270D0EC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6FC-4D26-9CA2-1686B270D0EC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6FC-4D26-9CA2-1686B270D0E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6FC-4D26-9CA2-1686B270D0EC}"/>
                </c:ext>
              </c:extLst>
            </c:dLbl>
            <c:dLbl>
              <c:idx val="37"/>
              <c:layout>
                <c:manualLayout>
                  <c:x val="-1.5416237957989957E-2"/>
                  <c:y val="-8.4338661821567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6FC-4D26-9CA2-1686B270D0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RP4'!$C$9:$AN$9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0.3</c:v>
                </c:pt>
                <c:pt idx="12" formatCode="0.00">
                  <c:v>0.63</c:v>
                </c:pt>
                <c:pt idx="13" formatCode="0.0">
                  <c:v>1.8639999999999999</c:v>
                </c:pt>
                <c:pt idx="14" formatCode="0.0">
                  <c:v>3.0979999999999999</c:v>
                </c:pt>
                <c:pt idx="15" formatCode="0.0">
                  <c:v>4.3319999999999999</c:v>
                </c:pt>
                <c:pt idx="16" formatCode="0.0">
                  <c:v>5.5659999999999998</c:v>
                </c:pt>
                <c:pt idx="17" formatCode="0.00">
                  <c:v>6.8</c:v>
                </c:pt>
                <c:pt idx="18" formatCode="0.0">
                  <c:v>7.9660000000000002</c:v>
                </c:pt>
                <c:pt idx="19" formatCode="0.0">
                  <c:v>9.1319999999999997</c:v>
                </c:pt>
                <c:pt idx="20" formatCode="0.0">
                  <c:v>10.298</c:v>
                </c:pt>
                <c:pt idx="21" formatCode="0.0">
                  <c:v>11.464</c:v>
                </c:pt>
                <c:pt idx="22" formatCode="0.00">
                  <c:v>12.63</c:v>
                </c:pt>
                <c:pt idx="23" formatCode="0.0">
                  <c:v>14.264000000000001</c:v>
                </c:pt>
                <c:pt idx="24" formatCode="0.0">
                  <c:v>15.898000000000001</c:v>
                </c:pt>
                <c:pt idx="25" formatCode="0.0">
                  <c:v>17.532</c:v>
                </c:pt>
                <c:pt idx="26" formatCode="0.0">
                  <c:v>19.166</c:v>
                </c:pt>
                <c:pt idx="27" formatCode="0.00">
                  <c:v>20.8</c:v>
                </c:pt>
                <c:pt idx="28" formatCode="0.0">
                  <c:v>21.692600000000002</c:v>
                </c:pt>
                <c:pt idx="29" formatCode="0.0">
                  <c:v>22.585200000000004</c:v>
                </c:pt>
                <c:pt idx="30" formatCode="0.0">
                  <c:v>23.477800000000006</c:v>
                </c:pt>
                <c:pt idx="31" formatCode="0.0">
                  <c:v>24.370400000000007</c:v>
                </c:pt>
                <c:pt idx="32" formatCode="0.00">
                  <c:v>25.263000000000002</c:v>
                </c:pt>
                <c:pt idx="33" formatCode="0.0">
                  <c:v>26.2104</c:v>
                </c:pt>
                <c:pt idx="34" formatCode="0.0">
                  <c:v>27.157799999999998</c:v>
                </c:pt>
                <c:pt idx="35" formatCode="0.0">
                  <c:v>28.105199999999996</c:v>
                </c:pt>
                <c:pt idx="36" formatCode="0.0">
                  <c:v>29.052599999999995</c:v>
                </c:pt>
                <c:pt idx="37" formatCode="0.0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6FC-4D26-9CA2-1686B270D0EC}"/>
            </c:ext>
          </c:extLst>
        </c:ser>
        <c:ser>
          <c:idx val="3"/>
          <c:order val="3"/>
          <c:tx>
            <c:strRef>
              <c:f>'Sc RP4'!$B$10</c:f>
              <c:strCache>
                <c:ptCount val="1"/>
                <c:pt idx="0">
                  <c:v>Peaking Gas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RP4'!$C$10:$AN$10</c:f>
              <c:numCache>
                <c:formatCode>0.0</c:formatCode>
                <c:ptCount val="38"/>
                <c:pt idx="0">
                  <c:v>7.577</c:v>
                </c:pt>
                <c:pt idx="1">
                  <c:v>7.5517142857142856</c:v>
                </c:pt>
                <c:pt idx="2">
                  <c:v>7.5264285714285712</c:v>
                </c:pt>
                <c:pt idx="3">
                  <c:v>7.5011428571428569</c:v>
                </c:pt>
                <c:pt idx="4">
                  <c:v>7.4758571428571425</c:v>
                </c:pt>
                <c:pt idx="5">
                  <c:v>7.4505714285714282</c:v>
                </c:pt>
                <c:pt idx="6">
                  <c:v>7.4252857142857138</c:v>
                </c:pt>
                <c:pt idx="7">
                  <c:v>7.4</c:v>
                </c:pt>
                <c:pt idx="8" formatCode="0.00">
                  <c:v>6.86</c:v>
                </c:pt>
                <c:pt idx="9" formatCode="0.00">
                  <c:v>6.32</c:v>
                </c:pt>
                <c:pt idx="10" formatCode="0.00">
                  <c:v>5.78</c:v>
                </c:pt>
                <c:pt idx="11" formatCode="0.00">
                  <c:v>5.24</c:v>
                </c:pt>
                <c:pt idx="12">
                  <c:v>4.7</c:v>
                </c:pt>
                <c:pt idx="13">
                  <c:v>4.74</c:v>
                </c:pt>
                <c:pt idx="14">
                  <c:v>4.78</c:v>
                </c:pt>
                <c:pt idx="15">
                  <c:v>4.82</c:v>
                </c:pt>
                <c:pt idx="16">
                  <c:v>4.8600000000000003</c:v>
                </c:pt>
                <c:pt idx="17">
                  <c:v>4.9000000000000004</c:v>
                </c:pt>
                <c:pt idx="18">
                  <c:v>4.6978</c:v>
                </c:pt>
                <c:pt idx="19">
                  <c:v>4.4955999999999996</c:v>
                </c:pt>
                <c:pt idx="20">
                  <c:v>4.2933999999999992</c:v>
                </c:pt>
                <c:pt idx="21">
                  <c:v>4.0911999999999988</c:v>
                </c:pt>
                <c:pt idx="22" formatCode="0.00">
                  <c:v>3.8889999999999998</c:v>
                </c:pt>
                <c:pt idx="23">
                  <c:v>3.6711999999999998</c:v>
                </c:pt>
                <c:pt idx="24">
                  <c:v>3.4533999999999998</c:v>
                </c:pt>
                <c:pt idx="25">
                  <c:v>3.2355999999999998</c:v>
                </c:pt>
                <c:pt idx="26">
                  <c:v>3.0177999999999998</c:v>
                </c:pt>
                <c:pt idx="27">
                  <c:v>2.8</c:v>
                </c:pt>
                <c:pt idx="28" formatCode="General">
                  <c:v>2.2399999999999998</c:v>
                </c:pt>
                <c:pt idx="29" formatCode="General">
                  <c:v>1.6799999999999997</c:v>
                </c:pt>
                <c:pt idx="30" formatCode="General">
                  <c:v>1.1199999999999997</c:v>
                </c:pt>
                <c:pt idx="31" formatCode="General">
                  <c:v>0.55999999999999972</c:v>
                </c:pt>
                <c:pt idx="32" formatCode="General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F6FC-4D26-9CA2-1686B270D0EC}"/>
            </c:ext>
          </c:extLst>
        </c:ser>
        <c:ser>
          <c:idx val="4"/>
          <c:order val="4"/>
          <c:tx>
            <c:strRef>
              <c:f>'Sc RP4'!$B$11</c:f>
              <c:strCache>
                <c:ptCount val="1"/>
                <c:pt idx="0">
                  <c:v>CCG+CCS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RP4'!$C$11:$AN$11</c:f>
              <c:numCache>
                <c:formatCode>0.0</c:formatCode>
                <c:ptCount val="3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 formatCode="General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F6FC-4D26-9CA2-1686B270D0EC}"/>
            </c:ext>
          </c:extLst>
        </c:ser>
        <c:ser>
          <c:idx val="5"/>
          <c:order val="5"/>
          <c:tx>
            <c:strRef>
              <c:f>'Sc RP4'!$B$12</c:f>
              <c:strCache>
                <c:ptCount val="1"/>
                <c:pt idx="0">
                  <c:v>CCG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RP4'!$C$12:$AN$12</c:f>
              <c:numCache>
                <c:formatCode>0.0</c:formatCode>
                <c:ptCount val="38"/>
                <c:pt idx="0" formatCode="General">
                  <c:v>4.3499999999999996</c:v>
                </c:pt>
                <c:pt idx="1">
                  <c:v>4.3107142857142851</c:v>
                </c:pt>
                <c:pt idx="2">
                  <c:v>4.2714285714285705</c:v>
                </c:pt>
                <c:pt idx="3">
                  <c:v>4.2321428571428559</c:v>
                </c:pt>
                <c:pt idx="4">
                  <c:v>4.1928571428571413</c:v>
                </c:pt>
                <c:pt idx="5">
                  <c:v>4.1535714285714267</c:v>
                </c:pt>
                <c:pt idx="6">
                  <c:v>4.1142857142857121</c:v>
                </c:pt>
                <c:pt idx="7">
                  <c:v>4.0750000000000002</c:v>
                </c:pt>
                <c:pt idx="8" formatCode="0.00">
                  <c:v>3.8200000000000003</c:v>
                </c:pt>
                <c:pt idx="9" formatCode="0.00">
                  <c:v>3.5650000000000004</c:v>
                </c:pt>
                <c:pt idx="10" formatCode="0.00">
                  <c:v>3.3100000000000005</c:v>
                </c:pt>
                <c:pt idx="11" formatCode="0.00">
                  <c:v>3.0550000000000006</c:v>
                </c:pt>
                <c:pt idx="12" formatCode="0.00">
                  <c:v>2.8</c:v>
                </c:pt>
                <c:pt idx="13">
                  <c:v>3.12</c:v>
                </c:pt>
                <c:pt idx="14">
                  <c:v>3.4400000000000004</c:v>
                </c:pt>
                <c:pt idx="15">
                  <c:v>3.7600000000000007</c:v>
                </c:pt>
                <c:pt idx="16">
                  <c:v>4.080000000000001</c:v>
                </c:pt>
                <c:pt idx="17">
                  <c:v>4.4000000000000004</c:v>
                </c:pt>
                <c:pt idx="18">
                  <c:v>4.2534000000000001</c:v>
                </c:pt>
                <c:pt idx="19">
                  <c:v>4.1067999999999998</c:v>
                </c:pt>
                <c:pt idx="20">
                  <c:v>3.9601999999999995</c:v>
                </c:pt>
                <c:pt idx="21">
                  <c:v>3.8135999999999992</c:v>
                </c:pt>
                <c:pt idx="22">
                  <c:v>3.6669999999999998</c:v>
                </c:pt>
                <c:pt idx="23">
                  <c:v>2.9335999999999998</c:v>
                </c:pt>
                <c:pt idx="24">
                  <c:v>2.2001999999999997</c:v>
                </c:pt>
                <c:pt idx="25">
                  <c:v>1.4667999999999997</c:v>
                </c:pt>
                <c:pt idx="26">
                  <c:v>0.73339999999999972</c:v>
                </c:pt>
                <c:pt idx="27">
                  <c:v>0</c:v>
                </c:pt>
                <c:pt idx="28" formatCode="0">
                  <c:v>0</c:v>
                </c:pt>
                <c:pt idx="29" formatCode="0">
                  <c:v>0</c:v>
                </c:pt>
                <c:pt idx="30" formatCode="0">
                  <c:v>0</c:v>
                </c:pt>
                <c:pt idx="31" formatCode="0">
                  <c:v>0</c:v>
                </c:pt>
                <c:pt idx="32" formatCode="General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F6FC-4D26-9CA2-1686B270D0EC}"/>
            </c:ext>
          </c:extLst>
        </c:ser>
        <c:ser>
          <c:idx val="6"/>
          <c:order val="6"/>
          <c:tx>
            <c:strRef>
              <c:f>'Sc RP4'!$B$13</c:f>
              <c:strCache>
                <c:ptCount val="1"/>
                <c:pt idx="0">
                  <c:v>Solar R/T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RP4'!$C$13:$AN$13</c:f>
              <c:numCache>
                <c:formatCode>0.0</c:formatCode>
                <c:ptCount val="38"/>
                <c:pt idx="0">
                  <c:v>19.190000000000001</c:v>
                </c:pt>
                <c:pt idx="1">
                  <c:v>20.02</c:v>
                </c:pt>
                <c:pt idx="2">
                  <c:v>20.849999999999998</c:v>
                </c:pt>
                <c:pt idx="3">
                  <c:v>21.679999999999996</c:v>
                </c:pt>
                <c:pt idx="4">
                  <c:v>22.509999999999994</c:v>
                </c:pt>
                <c:pt idx="5">
                  <c:v>23.339999999999993</c:v>
                </c:pt>
                <c:pt idx="6">
                  <c:v>24.169999999999991</c:v>
                </c:pt>
                <c:pt idx="7">
                  <c:v>25</c:v>
                </c:pt>
                <c:pt idx="8" formatCode="0.00">
                  <c:v>25</c:v>
                </c:pt>
                <c:pt idx="9" formatCode="0.00">
                  <c:v>25</c:v>
                </c:pt>
                <c:pt idx="10" formatCode="0.00">
                  <c:v>25</c:v>
                </c:pt>
                <c:pt idx="11" formatCode="0.00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25.26</c:v>
                </c:pt>
                <c:pt idx="24">
                  <c:v>25.520000000000003</c:v>
                </c:pt>
                <c:pt idx="25">
                  <c:v>25.780000000000005</c:v>
                </c:pt>
                <c:pt idx="26">
                  <c:v>26.040000000000006</c:v>
                </c:pt>
                <c:pt idx="27">
                  <c:v>26.3</c:v>
                </c:pt>
                <c:pt idx="28" formatCode="0">
                  <c:v>26.301600000000001</c:v>
                </c:pt>
                <c:pt idx="29" formatCode="0">
                  <c:v>26.3032</c:v>
                </c:pt>
                <c:pt idx="30" formatCode="0">
                  <c:v>26.3048</c:v>
                </c:pt>
                <c:pt idx="31" formatCode="0">
                  <c:v>26.3064</c:v>
                </c:pt>
                <c:pt idx="32">
                  <c:v>26.308</c:v>
                </c:pt>
                <c:pt idx="33">
                  <c:v>26.308</c:v>
                </c:pt>
                <c:pt idx="34">
                  <c:v>26.308</c:v>
                </c:pt>
                <c:pt idx="35">
                  <c:v>26.308</c:v>
                </c:pt>
                <c:pt idx="36">
                  <c:v>26.308</c:v>
                </c:pt>
                <c:pt idx="37">
                  <c:v>26.308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F6FC-4D26-9CA2-1686B270D0EC}"/>
            </c:ext>
          </c:extLst>
        </c:ser>
        <c:ser>
          <c:idx val="7"/>
          <c:order val="7"/>
          <c:tx>
            <c:strRef>
              <c:f>'Sc RP4'!$B$14</c:f>
              <c:strCache>
                <c:ptCount val="1"/>
                <c:pt idx="0">
                  <c:v>Solr UT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RP4'!$C$14:$AN$14</c:f>
              <c:numCache>
                <c:formatCode>0.0</c:formatCode>
                <c:ptCount val="38"/>
                <c:pt idx="0" formatCode="General">
                  <c:v>7.92</c:v>
                </c:pt>
                <c:pt idx="1">
                  <c:v>8.0457142857142863</c:v>
                </c:pt>
                <c:pt idx="2">
                  <c:v>8.1714285714285726</c:v>
                </c:pt>
                <c:pt idx="3">
                  <c:v>8.2971428571428589</c:v>
                </c:pt>
                <c:pt idx="4">
                  <c:v>8.4228571428571453</c:v>
                </c:pt>
                <c:pt idx="5">
                  <c:v>8.5485714285714316</c:v>
                </c:pt>
                <c:pt idx="6">
                  <c:v>8.6742857142857179</c:v>
                </c:pt>
                <c:pt idx="7">
                  <c:v>8.8000000000000007</c:v>
                </c:pt>
                <c:pt idx="8" formatCode="0.00">
                  <c:v>8.8000000000000007</c:v>
                </c:pt>
                <c:pt idx="9" formatCode="0.00">
                  <c:v>8.8000000000000007</c:v>
                </c:pt>
                <c:pt idx="10" formatCode="0.00">
                  <c:v>8.8000000000000007</c:v>
                </c:pt>
                <c:pt idx="11" formatCode="0.00">
                  <c:v>8.8000000000000007</c:v>
                </c:pt>
                <c:pt idx="12">
                  <c:v>8.8000000000000007</c:v>
                </c:pt>
                <c:pt idx="13">
                  <c:v>8.8000000000000007</c:v>
                </c:pt>
                <c:pt idx="14">
                  <c:v>8.8000000000000007</c:v>
                </c:pt>
                <c:pt idx="15">
                  <c:v>8.8000000000000007</c:v>
                </c:pt>
                <c:pt idx="16">
                  <c:v>8.8000000000000007</c:v>
                </c:pt>
                <c:pt idx="17">
                  <c:v>8.8000000000000007</c:v>
                </c:pt>
                <c:pt idx="18">
                  <c:v>8.8000000000000007</c:v>
                </c:pt>
                <c:pt idx="19">
                  <c:v>8.8000000000000007</c:v>
                </c:pt>
                <c:pt idx="20">
                  <c:v>8.8000000000000007</c:v>
                </c:pt>
                <c:pt idx="21">
                  <c:v>8.8000000000000007</c:v>
                </c:pt>
                <c:pt idx="22">
                  <c:v>8.8000000000000007</c:v>
                </c:pt>
                <c:pt idx="23">
                  <c:v>8.8000000000000007</c:v>
                </c:pt>
                <c:pt idx="24">
                  <c:v>8.8000000000000007</c:v>
                </c:pt>
                <c:pt idx="25">
                  <c:v>8.8000000000000007</c:v>
                </c:pt>
                <c:pt idx="26">
                  <c:v>8.8000000000000007</c:v>
                </c:pt>
                <c:pt idx="27">
                  <c:v>8.8000000000000007</c:v>
                </c:pt>
                <c:pt idx="28" formatCode="0">
                  <c:v>8.8000000000000007</c:v>
                </c:pt>
                <c:pt idx="29" formatCode="0">
                  <c:v>8.8000000000000007</c:v>
                </c:pt>
                <c:pt idx="30" formatCode="0">
                  <c:v>8.8000000000000007</c:v>
                </c:pt>
                <c:pt idx="31" formatCode="0">
                  <c:v>8.8000000000000007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8.8000000000000007</c:v>
                </c:pt>
                <c:pt idx="37" formatCode="General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F6FC-4D26-9CA2-1686B270D0EC}"/>
            </c:ext>
          </c:extLst>
        </c:ser>
        <c:ser>
          <c:idx val="8"/>
          <c:order val="8"/>
          <c:tx>
            <c:strRef>
              <c:f>'Sc RP4'!$B$15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RP4'!$C$15:$AN$15</c:f>
              <c:numCache>
                <c:formatCode>0.0</c:formatCode>
                <c:ptCount val="38"/>
                <c:pt idx="0" formatCode="General">
                  <c:v>10.5</c:v>
                </c:pt>
                <c:pt idx="1">
                  <c:v>10.642857142857142</c:v>
                </c:pt>
                <c:pt idx="2">
                  <c:v>10.785714285714285</c:v>
                </c:pt>
                <c:pt idx="3">
                  <c:v>10.928571428571427</c:v>
                </c:pt>
                <c:pt idx="4">
                  <c:v>11.071428571428569</c:v>
                </c:pt>
                <c:pt idx="5">
                  <c:v>11.214285714285712</c:v>
                </c:pt>
                <c:pt idx="6">
                  <c:v>11.357142857142854</c:v>
                </c:pt>
                <c:pt idx="7">
                  <c:v>11.5</c:v>
                </c:pt>
                <c:pt idx="8" formatCode="0.00">
                  <c:v>12</c:v>
                </c:pt>
                <c:pt idx="9" formatCode="0.00">
                  <c:v>12.5</c:v>
                </c:pt>
                <c:pt idx="10" formatCode="0.00">
                  <c:v>13</c:v>
                </c:pt>
                <c:pt idx="11" formatCode="0.00">
                  <c:v>13.5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14.879999999999999</c:v>
                </c:pt>
                <c:pt idx="24">
                  <c:v>15.759999999999998</c:v>
                </c:pt>
                <c:pt idx="25">
                  <c:v>16.639999999999997</c:v>
                </c:pt>
                <c:pt idx="26">
                  <c:v>17.519999999999996</c:v>
                </c:pt>
                <c:pt idx="27">
                  <c:v>18.399999999999999</c:v>
                </c:pt>
                <c:pt idx="28" formatCode="0">
                  <c:v>18.399999999999999</c:v>
                </c:pt>
                <c:pt idx="29" formatCode="0">
                  <c:v>18.399999999999999</c:v>
                </c:pt>
                <c:pt idx="30" formatCode="0">
                  <c:v>18.399999999999999</c:v>
                </c:pt>
                <c:pt idx="31" formatCode="0">
                  <c:v>18.399999999999999</c:v>
                </c:pt>
                <c:pt idx="32">
                  <c:v>18.399999999999999</c:v>
                </c:pt>
                <c:pt idx="33">
                  <c:v>18.399999999999999</c:v>
                </c:pt>
                <c:pt idx="34">
                  <c:v>18.399999999999999</c:v>
                </c:pt>
                <c:pt idx="35">
                  <c:v>18.399999999999999</c:v>
                </c:pt>
                <c:pt idx="36">
                  <c:v>18.399999999999999</c:v>
                </c:pt>
                <c:pt idx="37" formatCode="General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6FC-4D26-9CA2-1686B270D0EC}"/>
            </c:ext>
          </c:extLst>
        </c:ser>
        <c:ser>
          <c:idx val="9"/>
          <c:order val="9"/>
          <c:tx>
            <c:strRef>
              <c:f>'Sc RP4'!$B$16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RP4'!$C$16:$AN$16</c:f>
              <c:numCache>
                <c:formatCode>0.0</c:formatCode>
                <c:ptCount val="38"/>
                <c:pt idx="0" formatCode="General">
                  <c:v>7.05</c:v>
                </c:pt>
                <c:pt idx="1">
                  <c:v>7.05</c:v>
                </c:pt>
                <c:pt idx="2">
                  <c:v>7.05</c:v>
                </c:pt>
                <c:pt idx="3">
                  <c:v>7.05</c:v>
                </c:pt>
                <c:pt idx="4">
                  <c:v>7.05</c:v>
                </c:pt>
                <c:pt idx="5">
                  <c:v>7.05</c:v>
                </c:pt>
                <c:pt idx="6">
                  <c:v>7.05</c:v>
                </c:pt>
                <c:pt idx="7" formatCode="General">
                  <c:v>7.05</c:v>
                </c:pt>
                <c:pt idx="8" formatCode="0.00">
                  <c:v>7.05</c:v>
                </c:pt>
                <c:pt idx="9" formatCode="0.00">
                  <c:v>7.05</c:v>
                </c:pt>
                <c:pt idx="10" formatCode="0.00">
                  <c:v>7.05</c:v>
                </c:pt>
                <c:pt idx="11" formatCode="0.00">
                  <c:v>7.05</c:v>
                </c:pt>
                <c:pt idx="12" formatCode="General">
                  <c:v>7.05</c:v>
                </c:pt>
                <c:pt idx="13">
                  <c:v>7.05</c:v>
                </c:pt>
                <c:pt idx="14">
                  <c:v>7.05</c:v>
                </c:pt>
                <c:pt idx="15">
                  <c:v>7.05</c:v>
                </c:pt>
                <c:pt idx="16">
                  <c:v>7.05</c:v>
                </c:pt>
                <c:pt idx="17" formatCode="General">
                  <c:v>7.05</c:v>
                </c:pt>
                <c:pt idx="18">
                  <c:v>7.05</c:v>
                </c:pt>
                <c:pt idx="19">
                  <c:v>7.05</c:v>
                </c:pt>
                <c:pt idx="20">
                  <c:v>7.05</c:v>
                </c:pt>
                <c:pt idx="21">
                  <c:v>7.05</c:v>
                </c:pt>
                <c:pt idx="22" formatCode="General">
                  <c:v>7.05</c:v>
                </c:pt>
                <c:pt idx="23">
                  <c:v>7.05</c:v>
                </c:pt>
                <c:pt idx="24">
                  <c:v>7.05</c:v>
                </c:pt>
                <c:pt idx="25">
                  <c:v>7.05</c:v>
                </c:pt>
                <c:pt idx="26">
                  <c:v>7.05</c:v>
                </c:pt>
                <c:pt idx="27" formatCode="General">
                  <c:v>7.05</c:v>
                </c:pt>
                <c:pt idx="28" formatCode="0">
                  <c:v>7.05</c:v>
                </c:pt>
                <c:pt idx="29" formatCode="0">
                  <c:v>7.05</c:v>
                </c:pt>
                <c:pt idx="30" formatCode="0">
                  <c:v>7.05</c:v>
                </c:pt>
                <c:pt idx="31" formatCode="0">
                  <c:v>7.05</c:v>
                </c:pt>
                <c:pt idx="32" formatCode="General">
                  <c:v>7.05</c:v>
                </c:pt>
                <c:pt idx="33">
                  <c:v>7.05</c:v>
                </c:pt>
                <c:pt idx="34">
                  <c:v>7.05</c:v>
                </c:pt>
                <c:pt idx="35">
                  <c:v>7.05</c:v>
                </c:pt>
                <c:pt idx="36">
                  <c:v>7.05</c:v>
                </c:pt>
                <c:pt idx="37" formatCode="General">
                  <c:v>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6FC-4D26-9CA2-1686B270D0EC}"/>
            </c:ext>
          </c:extLst>
        </c:ser>
        <c:ser>
          <c:idx val="10"/>
          <c:order val="10"/>
          <c:tx>
            <c:strRef>
              <c:f>'Sc RP4'!$B$17</c:f>
              <c:strCache>
                <c:ptCount val="1"/>
                <c:pt idx="0">
                  <c:v>Batteries 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RP4'!$C$17:$AN$17</c:f>
              <c:numCache>
                <c:formatCode>0.0</c:formatCode>
                <c:ptCount val="3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0.00">
                  <c:v>0.74199999999999999</c:v>
                </c:pt>
                <c:pt idx="9" formatCode="0.00">
                  <c:v>1.484</c:v>
                </c:pt>
                <c:pt idx="10" formatCode="0.00">
                  <c:v>2.226</c:v>
                </c:pt>
                <c:pt idx="11" formatCode="0.00">
                  <c:v>2.968</c:v>
                </c:pt>
                <c:pt idx="12" formatCode="General">
                  <c:v>3.71</c:v>
                </c:pt>
                <c:pt idx="13">
                  <c:v>3.71</c:v>
                </c:pt>
                <c:pt idx="14">
                  <c:v>3.71</c:v>
                </c:pt>
                <c:pt idx="15">
                  <c:v>3.71</c:v>
                </c:pt>
                <c:pt idx="16">
                  <c:v>3.71</c:v>
                </c:pt>
                <c:pt idx="17" formatCode="General">
                  <c:v>3.71</c:v>
                </c:pt>
                <c:pt idx="18">
                  <c:v>3.71</c:v>
                </c:pt>
                <c:pt idx="19">
                  <c:v>3.71</c:v>
                </c:pt>
                <c:pt idx="20">
                  <c:v>3.71</c:v>
                </c:pt>
                <c:pt idx="21">
                  <c:v>3.71</c:v>
                </c:pt>
                <c:pt idx="22" formatCode="General">
                  <c:v>3.71</c:v>
                </c:pt>
                <c:pt idx="23">
                  <c:v>3.5880000000000001</c:v>
                </c:pt>
                <c:pt idx="24">
                  <c:v>3.4660000000000002</c:v>
                </c:pt>
                <c:pt idx="25">
                  <c:v>3.3440000000000003</c:v>
                </c:pt>
                <c:pt idx="26">
                  <c:v>3.2220000000000004</c:v>
                </c:pt>
                <c:pt idx="27" formatCode="General">
                  <c:v>3.1</c:v>
                </c:pt>
                <c:pt idx="28" formatCode="0">
                  <c:v>3.1</c:v>
                </c:pt>
                <c:pt idx="29" formatCode="0">
                  <c:v>3.1</c:v>
                </c:pt>
                <c:pt idx="30" formatCode="0">
                  <c:v>3.1</c:v>
                </c:pt>
                <c:pt idx="31" formatCode="0">
                  <c:v>3.1</c:v>
                </c:pt>
                <c:pt idx="32" formatCode="General">
                  <c:v>3.1</c:v>
                </c:pt>
                <c:pt idx="33">
                  <c:v>3.1</c:v>
                </c:pt>
                <c:pt idx="34">
                  <c:v>3.1</c:v>
                </c:pt>
                <c:pt idx="35">
                  <c:v>3.1</c:v>
                </c:pt>
                <c:pt idx="36">
                  <c:v>3.1</c:v>
                </c:pt>
                <c:pt idx="37" formatCode="General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F6FC-4D26-9CA2-1686B270D0EC}"/>
            </c:ext>
          </c:extLst>
        </c:ser>
        <c:ser>
          <c:idx val="11"/>
          <c:order val="11"/>
          <c:tx>
            <c:strRef>
              <c:f>'Sc RP4'!$B$18</c:f>
              <c:strCache>
                <c:ptCount val="1"/>
                <c:pt idx="0">
                  <c:v>P/Store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RP4'!$C$18:$AN$18</c:f>
              <c:numCache>
                <c:formatCode>0.0</c:formatCode>
                <c:ptCount val="38"/>
                <c:pt idx="0" formatCode="General">
                  <c:v>2.1</c:v>
                </c:pt>
                <c:pt idx="1">
                  <c:v>2.2285714285714286</c:v>
                </c:pt>
                <c:pt idx="2">
                  <c:v>2.3571428571428572</c:v>
                </c:pt>
                <c:pt idx="3">
                  <c:v>2.4857142857142858</c:v>
                </c:pt>
                <c:pt idx="4">
                  <c:v>2.6142857142857143</c:v>
                </c:pt>
                <c:pt idx="5">
                  <c:v>2.7428571428571429</c:v>
                </c:pt>
                <c:pt idx="6">
                  <c:v>2.8714285714285714</c:v>
                </c:pt>
                <c:pt idx="7">
                  <c:v>3</c:v>
                </c:pt>
                <c:pt idx="8" formatCode="0.00">
                  <c:v>3</c:v>
                </c:pt>
                <c:pt idx="9" formatCode="0.00">
                  <c:v>3</c:v>
                </c:pt>
                <c:pt idx="10" formatCode="0.00">
                  <c:v>3</c:v>
                </c:pt>
                <c:pt idx="11" formatCode="0.00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3.2</c:v>
                </c:pt>
                <c:pt idx="24">
                  <c:v>3.4000000000000004</c:v>
                </c:pt>
                <c:pt idx="25">
                  <c:v>3.6000000000000005</c:v>
                </c:pt>
                <c:pt idx="26">
                  <c:v>3.8000000000000007</c:v>
                </c:pt>
                <c:pt idx="27" formatCode="General">
                  <c:v>4</c:v>
                </c:pt>
                <c:pt idx="28" formatCode="0">
                  <c:v>4</c:v>
                </c:pt>
                <c:pt idx="29" formatCode="0">
                  <c:v>4</c:v>
                </c:pt>
                <c:pt idx="30" formatCode="0">
                  <c:v>4</c:v>
                </c:pt>
                <c:pt idx="31" formatCode="0">
                  <c:v>4</c:v>
                </c:pt>
                <c:pt idx="32" formatCode="General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 formatCode="General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F6FC-4D26-9CA2-1686B270D0EC}"/>
            </c:ext>
          </c:extLst>
        </c:ser>
        <c:ser>
          <c:idx val="12"/>
          <c:order val="12"/>
          <c:tx>
            <c:strRef>
              <c:f>'Sc RP4'!$B$19</c:f>
              <c:strCache>
                <c:ptCount val="1"/>
                <c:pt idx="0">
                  <c:v>Batteries HV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RP4'!$C$19:$AN$19</c:f>
              <c:numCache>
                <c:formatCode>0.0</c:formatCode>
                <c:ptCount val="38"/>
                <c:pt idx="0" formatCode="General">
                  <c:v>0.2</c:v>
                </c:pt>
                <c:pt idx="1">
                  <c:v>0.45714285714285718</c:v>
                </c:pt>
                <c:pt idx="2">
                  <c:v>0.71428571428571441</c:v>
                </c:pt>
                <c:pt idx="3">
                  <c:v>0.97142857142857153</c:v>
                </c:pt>
                <c:pt idx="4">
                  <c:v>1.2285714285714286</c:v>
                </c:pt>
                <c:pt idx="5">
                  <c:v>1.4857142857142858</c:v>
                </c:pt>
                <c:pt idx="6">
                  <c:v>1.7428571428571429</c:v>
                </c:pt>
                <c:pt idx="7">
                  <c:v>2</c:v>
                </c:pt>
                <c:pt idx="8" formatCode="0.00">
                  <c:v>2.2000000000000002</c:v>
                </c:pt>
                <c:pt idx="9" formatCode="0.00">
                  <c:v>2.4000000000000004</c:v>
                </c:pt>
                <c:pt idx="10" formatCode="0.00">
                  <c:v>2.6000000000000005</c:v>
                </c:pt>
                <c:pt idx="11" formatCode="0.00">
                  <c:v>2.8000000000000007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2.8</c:v>
                </c:pt>
                <c:pt idx="24">
                  <c:v>2.5999999999999996</c:v>
                </c:pt>
                <c:pt idx="25">
                  <c:v>2.3999999999999995</c:v>
                </c:pt>
                <c:pt idx="26">
                  <c:v>2.1999999999999993</c:v>
                </c:pt>
                <c:pt idx="27" formatCode="General">
                  <c:v>2</c:v>
                </c:pt>
                <c:pt idx="28" formatCode="0">
                  <c:v>2</c:v>
                </c:pt>
                <c:pt idx="29" formatCode="0">
                  <c:v>2</c:v>
                </c:pt>
                <c:pt idx="30" formatCode="0">
                  <c:v>2</c:v>
                </c:pt>
                <c:pt idx="31" formatCode="0">
                  <c:v>2</c:v>
                </c:pt>
                <c:pt idx="32" formatCode="General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F6FC-4D26-9CA2-1686B270D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031792"/>
        <c:axId val="888927888"/>
      </c:areaChart>
      <c:catAx>
        <c:axId val="973031792"/>
        <c:scaling>
          <c:orientation val="minMax"/>
          <c:max val="38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927888"/>
        <c:crosses val="autoZero"/>
        <c:auto val="0"/>
        <c:lblAlgn val="ctr"/>
        <c:lblOffset val="100"/>
        <c:noMultiLvlLbl val="1"/>
      </c:catAx>
      <c:valAx>
        <c:axId val="8889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03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16690316263158"/>
          <c:y val="8.0508625773544798E-2"/>
          <c:w val="0.72025040765450377"/>
          <c:h val="3.0985981465109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 RP4'!$B$9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 RP4'!$C$22:$AN$22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RP4'!$C$9:$AN$9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0.3</c:v>
                </c:pt>
                <c:pt idx="12" formatCode="0.00">
                  <c:v>0.63</c:v>
                </c:pt>
                <c:pt idx="13" formatCode="0.0">
                  <c:v>1.8639999999999999</c:v>
                </c:pt>
                <c:pt idx="14" formatCode="0.0">
                  <c:v>3.0979999999999999</c:v>
                </c:pt>
                <c:pt idx="15" formatCode="0.0">
                  <c:v>4.3319999999999999</c:v>
                </c:pt>
                <c:pt idx="16" formatCode="0.0">
                  <c:v>5.5659999999999998</c:v>
                </c:pt>
                <c:pt idx="17" formatCode="0.00">
                  <c:v>6.8</c:v>
                </c:pt>
                <c:pt idx="18" formatCode="0.0">
                  <c:v>7.9660000000000002</c:v>
                </c:pt>
                <c:pt idx="19" formatCode="0.0">
                  <c:v>9.1319999999999997</c:v>
                </c:pt>
                <c:pt idx="20" formatCode="0.0">
                  <c:v>10.298</c:v>
                </c:pt>
                <c:pt idx="21" formatCode="0.0">
                  <c:v>11.464</c:v>
                </c:pt>
                <c:pt idx="22" formatCode="0.00">
                  <c:v>12.63</c:v>
                </c:pt>
                <c:pt idx="23" formatCode="0.0">
                  <c:v>14.264000000000001</c:v>
                </c:pt>
                <c:pt idx="24" formatCode="0.0">
                  <c:v>15.898000000000001</c:v>
                </c:pt>
                <c:pt idx="25" formatCode="0.0">
                  <c:v>17.532</c:v>
                </c:pt>
                <c:pt idx="26" formatCode="0.0">
                  <c:v>19.166</c:v>
                </c:pt>
                <c:pt idx="27" formatCode="0.00">
                  <c:v>20.8</c:v>
                </c:pt>
                <c:pt idx="28" formatCode="0.0">
                  <c:v>21.692600000000002</c:v>
                </c:pt>
                <c:pt idx="29" formatCode="0.0">
                  <c:v>22.585200000000004</c:v>
                </c:pt>
                <c:pt idx="30" formatCode="0.0">
                  <c:v>23.477800000000006</c:v>
                </c:pt>
                <c:pt idx="31" formatCode="0.0">
                  <c:v>24.370400000000007</c:v>
                </c:pt>
                <c:pt idx="32" formatCode="0.00">
                  <c:v>25.263000000000002</c:v>
                </c:pt>
                <c:pt idx="33" formatCode="0.0">
                  <c:v>26.2104</c:v>
                </c:pt>
                <c:pt idx="34" formatCode="0.0">
                  <c:v>27.157799999999998</c:v>
                </c:pt>
                <c:pt idx="35" formatCode="0.0">
                  <c:v>28.105199999999996</c:v>
                </c:pt>
                <c:pt idx="36" formatCode="0.0">
                  <c:v>29.052599999999995</c:v>
                </c:pt>
                <c:pt idx="37" formatCode="0.0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E-4FBF-8B53-8CC265E47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705056"/>
        <c:axId val="654707456"/>
      </c:lineChart>
      <c:dateAx>
        <c:axId val="654705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707456"/>
        <c:crosses val="autoZero"/>
        <c:auto val="1"/>
        <c:lblOffset val="100"/>
        <c:baseTimeUnit val="years"/>
      </c:dateAx>
      <c:valAx>
        <c:axId val="65470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70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172055</xdr:rowOff>
    </xdr:from>
    <xdr:to>
      <xdr:col>15</xdr:col>
      <xdr:colOff>0</xdr:colOff>
      <xdr:row>27</xdr:row>
      <xdr:rowOff>136335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D841DA-FEC5-4140-8364-0D324F01D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117934</xdr:colOff>
      <xdr:row>43</xdr:row>
      <xdr:rowOff>28599</xdr:rowOff>
    </xdr:from>
    <xdr:to>
      <xdr:col>19</xdr:col>
      <xdr:colOff>342472</xdr:colOff>
      <xdr:row>89</xdr:row>
      <xdr:rowOff>96888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A5F702-0218-455D-BFEE-E84F592B0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0.70933</cdr:x>
      <cdr:y>0.53098</cdr:y>
    </cdr:from>
    <cdr:to>
      <cdr:x>0.75402</cdr:x>
      <cdr:y>0.56139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80F3C4C-8D2D-2548-0579-44EA2205D22F}"/>
            </a:ext>
          </a:extLst>
        </cdr:cNvPr>
        <cdr:cNvSpPr txBox="1"/>
      </cdr:nvSpPr>
      <cdr:spPr>
        <a:xfrm xmlns:a="http://schemas.openxmlformats.org/drawingml/2006/main">
          <a:off x="8687635" y="4587863"/>
          <a:ext cx="547414" cy="262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0.70451</cdr:x>
      <cdr:y>0.53474</cdr:y>
    </cdr:from>
    <cdr:to>
      <cdr:x>0.73076</cdr:x>
      <cdr:y>0.57782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7D0ED34-4454-F957-31CF-66E370997834}"/>
            </a:ext>
          </a:extLst>
        </cdr:cNvPr>
        <cdr:cNvSpPr txBox="1"/>
      </cdr:nvSpPr>
      <cdr:spPr>
        <a:xfrm xmlns:a="http://schemas.openxmlformats.org/drawingml/2006/main">
          <a:off x="8227523" y="4566536"/>
          <a:ext cx="306551" cy="367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0.69101</cdr:x>
      <cdr:y>0.48859</cdr:y>
    </cdr:from>
    <cdr:to>
      <cdr:x>0.76076</cdr:x>
      <cdr:y>0.52449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34AB083-606F-F2F8-62E8-3E57E1654B77}"/>
            </a:ext>
          </a:extLst>
        </cdr:cNvPr>
        <cdr:cNvSpPr txBox="1"/>
      </cdr:nvSpPr>
      <cdr:spPr>
        <a:xfrm xmlns:a="http://schemas.openxmlformats.org/drawingml/2006/main">
          <a:off x="8069867" y="4172397"/>
          <a:ext cx="814551" cy="306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0.79979</cdr:x>
      <cdr:y>0.41237</cdr:y>
    </cdr:from>
    <cdr:to>
      <cdr:x>0.85604</cdr:x>
      <cdr:y>0.44212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1B59861-6E42-C025-4EEE-F18198EA968E}"/>
            </a:ext>
          </a:extLst>
        </cdr:cNvPr>
        <cdr:cNvSpPr txBox="1"/>
      </cdr:nvSpPr>
      <cdr:spPr>
        <a:xfrm xmlns:a="http://schemas.openxmlformats.org/drawingml/2006/main">
          <a:off x="9903208" y="3560444"/>
          <a:ext cx="696503" cy="2568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100" b="1"/>
            <a:t>25GW</a:t>
          </a:r>
        </a:p>
      </cdr:txBody>
    </cdr:sp>
  </cdr:relSizeAnchor>
  <cdr:relSizeAnchor xmlns:cdr="http://schemas.openxmlformats.org/drawingml/2006/chartDrawing">
    <cdr:from>
      <cdr:x>0.85975</cdr:x>
      <cdr:y>0.35936</cdr:y>
    </cdr:from>
    <cdr:to>
      <cdr:x>0.9823</cdr:x>
      <cdr:y>0.46643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B584689-D70C-9B61-D26D-3055C0A621BA}"/>
            </a:ext>
          </a:extLst>
        </cdr:cNvPr>
        <cdr:cNvSpPr txBox="1"/>
      </cdr:nvSpPr>
      <cdr:spPr>
        <a:xfrm xmlns:a="http://schemas.openxmlformats.org/drawingml/2006/main">
          <a:off x="10040557" y="3068812"/>
          <a:ext cx="143115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0.871</cdr:x>
      <cdr:y>0.33474</cdr:y>
    </cdr:from>
    <cdr:to>
      <cdr:x>0.92875</cdr:x>
      <cdr:y>0.36654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B61FFCD3-3B16-7286-7E95-6B7E9FDC6252}"/>
            </a:ext>
          </a:extLst>
        </cdr:cNvPr>
        <cdr:cNvSpPr txBox="1"/>
      </cdr:nvSpPr>
      <cdr:spPr>
        <a:xfrm xmlns:a="http://schemas.openxmlformats.org/drawingml/2006/main">
          <a:off x="10171936" y="2858604"/>
          <a:ext cx="674414" cy="271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 b="1"/>
        </a:p>
      </cdr:txBody>
    </cdr:sp>
  </cdr:relSizeAnchor>
  <cdr:relSizeAnchor xmlns:cdr="http://schemas.openxmlformats.org/drawingml/2006/chartDrawing">
    <cdr:from>
      <cdr:x>0.57851</cdr:x>
      <cdr:y>0.53782</cdr:y>
    </cdr:from>
    <cdr:to>
      <cdr:x>0.63731</cdr:x>
      <cdr:y>0.56756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9227FD8F-C470-6A7A-8EEE-C205BB67FFA9}"/>
            </a:ext>
          </a:extLst>
        </cdr:cNvPr>
        <cdr:cNvSpPr txBox="1"/>
      </cdr:nvSpPr>
      <cdr:spPr>
        <a:xfrm xmlns:a="http://schemas.openxmlformats.org/drawingml/2006/main">
          <a:off x="6756074" y="4592812"/>
          <a:ext cx="686676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 b="1"/>
        </a:p>
      </cdr:txBody>
    </cdr:sp>
  </cdr:relSizeAnchor>
  <cdr:relSizeAnchor xmlns:cdr="http://schemas.openxmlformats.org/drawingml/2006/chartDrawing">
    <cdr:from>
      <cdr:x>0.46226</cdr:x>
      <cdr:y>0.61064</cdr:y>
    </cdr:from>
    <cdr:to>
      <cdr:x>0.51326</cdr:x>
      <cdr:y>0.63731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87BE03CE-9C1F-687C-C01E-BF6294AA6473}"/>
            </a:ext>
          </a:extLst>
        </cdr:cNvPr>
        <cdr:cNvSpPr txBox="1"/>
      </cdr:nvSpPr>
      <cdr:spPr>
        <a:xfrm xmlns:a="http://schemas.openxmlformats.org/drawingml/2006/main">
          <a:off x="5398488" y="5214674"/>
          <a:ext cx="595586" cy="227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 b="1"/>
        </a:p>
      </cdr:txBody>
    </cdr:sp>
  </cdr:relSizeAnchor>
  <cdr:relSizeAnchor xmlns:cdr="http://schemas.openxmlformats.org/drawingml/2006/chartDrawing">
    <cdr:from>
      <cdr:x>0.55323</cdr:x>
      <cdr:y>0.54026</cdr:y>
    </cdr:from>
    <cdr:to>
      <cdr:x>0.60423</cdr:x>
      <cdr:y>0.56488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2EEEB427-EB36-7E68-F4C1-A78DA46585AD}"/>
            </a:ext>
          </a:extLst>
        </cdr:cNvPr>
        <cdr:cNvSpPr txBox="1"/>
      </cdr:nvSpPr>
      <cdr:spPr>
        <a:xfrm xmlns:a="http://schemas.openxmlformats.org/drawingml/2006/main">
          <a:off x="6850200" y="4664705"/>
          <a:ext cx="631496" cy="212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100" b="1"/>
            <a:t>13GW</a:t>
          </a:r>
        </a:p>
      </cdr:txBody>
    </cdr:sp>
  </cdr:relSizeAnchor>
  <cdr:relSizeAnchor xmlns:cdr="http://schemas.openxmlformats.org/drawingml/2006/chartDrawing">
    <cdr:from>
      <cdr:x>0.7232</cdr:x>
      <cdr:y>0.45872</cdr:y>
    </cdr:from>
    <cdr:to>
      <cdr:x>0.90544</cdr:x>
      <cdr:y>0.49974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384076FF-C933-35FF-1F19-C7D1E612560D}"/>
            </a:ext>
          </a:extLst>
        </cdr:cNvPr>
        <cdr:cNvSpPr txBox="1"/>
      </cdr:nvSpPr>
      <cdr:spPr>
        <a:xfrm xmlns:a="http://schemas.openxmlformats.org/drawingml/2006/main">
          <a:off x="8737418" y="3832937"/>
          <a:ext cx="2201744" cy="342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/>
            <a:t>Values signify Nuclear capacity</a:t>
          </a:r>
        </a:p>
      </cdr:txBody>
    </cdr:sp>
  </cdr:relSizeAnchor>
  <cdr:relSizeAnchor xmlns:cdr="http://schemas.openxmlformats.org/drawingml/2006/chartDrawing">
    <cdr:from>
      <cdr:x>0.36502</cdr:x>
      <cdr:y>0.60123</cdr:y>
    </cdr:from>
    <cdr:to>
      <cdr:x>0.4195</cdr:x>
      <cdr:y>0.63456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1EF0DDC2-E8D2-2084-7E53-B86B14457F9D}"/>
            </a:ext>
          </a:extLst>
        </cdr:cNvPr>
        <cdr:cNvSpPr txBox="1"/>
      </cdr:nvSpPr>
      <cdr:spPr>
        <a:xfrm xmlns:a="http://schemas.openxmlformats.org/drawingml/2006/main">
          <a:off x="4410035" y="5023743"/>
          <a:ext cx="658203" cy="2784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100" b="1">
              <a:solidFill>
                <a:sysClr val="windowText" lastClr="000000"/>
              </a:solidFill>
            </a:rPr>
            <a:t>0.6GW</a:t>
          </a:r>
        </a:p>
      </cdr:txBody>
    </cdr:sp>
  </cdr:relSizeAnchor>
  <cdr:relSizeAnchor xmlns:cdr="http://schemas.openxmlformats.org/drawingml/2006/chartDrawing">
    <cdr:from>
      <cdr:x>0.47727</cdr:x>
      <cdr:y>0.58087</cdr:y>
    </cdr:from>
    <cdr:to>
      <cdr:x>0.52723</cdr:x>
      <cdr:y>0.61067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FEFE2185-CE31-70CE-A6A3-07A0642D7155}"/>
            </a:ext>
          </a:extLst>
        </cdr:cNvPr>
        <cdr:cNvSpPr txBox="1"/>
      </cdr:nvSpPr>
      <cdr:spPr>
        <a:xfrm xmlns:a="http://schemas.openxmlformats.org/drawingml/2006/main">
          <a:off x="5766134" y="4853548"/>
          <a:ext cx="603594" cy="24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100" b="1">
              <a:solidFill>
                <a:sysClr val="windowText" lastClr="000000"/>
              </a:solidFill>
            </a:rPr>
            <a:t>6.8GW</a:t>
          </a:r>
        </a:p>
      </cdr:txBody>
    </cdr:sp>
  </cdr:relSizeAnchor>
  <cdr:relSizeAnchor xmlns:cdr="http://schemas.openxmlformats.org/drawingml/2006/chartDrawing">
    <cdr:from>
      <cdr:x>0.68002</cdr:x>
      <cdr:y>0.47062</cdr:y>
    </cdr:from>
    <cdr:to>
      <cdr:x>0.72909</cdr:x>
      <cdr:y>0.49915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FC946C74-2C9D-B743-2F91-C795E0A750DE}"/>
            </a:ext>
          </a:extLst>
        </cdr:cNvPr>
        <cdr:cNvSpPr txBox="1"/>
      </cdr:nvSpPr>
      <cdr:spPr>
        <a:xfrm xmlns:a="http://schemas.openxmlformats.org/drawingml/2006/main">
          <a:off x="8215662" y="3932384"/>
          <a:ext cx="592843" cy="2383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100" b="1">
              <a:solidFill>
                <a:sysClr val="windowText" lastClr="000000"/>
              </a:solidFill>
            </a:rPr>
            <a:t>21GW</a:t>
          </a:r>
        </a:p>
      </cdr:txBody>
    </cdr:sp>
  </cdr:relSizeAnchor>
  <cdr:relSizeAnchor xmlns:cdr="http://schemas.openxmlformats.org/drawingml/2006/chartDrawing">
    <cdr:from>
      <cdr:x>0.81383</cdr:x>
      <cdr:y>0.43454</cdr:y>
    </cdr:from>
    <cdr:to>
      <cdr:x>0.88768</cdr:x>
      <cdr:y>0.54044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1A8D7AE5-0179-3A2F-DF10-8FACC85313D2}"/>
            </a:ext>
          </a:extLst>
        </cdr:cNvPr>
        <cdr:cNvSpPr txBox="1"/>
      </cdr:nvSpPr>
      <cdr:spPr>
        <a:xfrm xmlns:a="http://schemas.openxmlformats.org/drawingml/2006/main">
          <a:off x="10077100" y="37518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0.88291</cdr:x>
      <cdr:y>0.37226</cdr:y>
    </cdr:from>
    <cdr:to>
      <cdr:x>0.93242</cdr:x>
      <cdr:y>0.42108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2ECA3D5C-1C06-7434-6B78-21091DC5240E}"/>
            </a:ext>
          </a:extLst>
        </cdr:cNvPr>
        <cdr:cNvSpPr txBox="1"/>
      </cdr:nvSpPr>
      <cdr:spPr>
        <a:xfrm xmlns:a="http://schemas.openxmlformats.org/drawingml/2006/main">
          <a:off x="10666960" y="3110502"/>
          <a:ext cx="598158" cy="407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100" b="1"/>
            <a:t>30GW</a:t>
          </a:r>
        </a:p>
      </cdr:txBody>
    </cdr:sp>
  </cdr:relSizeAnchor>
  <cdr:relSizeAnchor xmlns:cdr="http://schemas.openxmlformats.org/drawingml/2006/chartDrawing">
    <cdr:from>
      <cdr:x>0.56719</cdr:x>
      <cdr:y>0.43279</cdr:y>
    </cdr:from>
    <cdr:to>
      <cdr:x>0.65607</cdr:x>
      <cdr:y>0.50893</cdr:y>
    </cdr:to>
    <cdr:sp macro="" textlink="">
      <cdr:nvSpPr>
        <cdr:cNvPr id="18" name="TextBox 17">
          <a:extLst xmlns:a="http://schemas.openxmlformats.org/drawingml/2006/main">
            <a:ext uri="{FF2B5EF4-FFF2-40B4-BE49-F238E27FC236}">
              <a16:creationId xmlns:a16="http://schemas.microsoft.com/office/drawing/2014/main" id="{66884204-EBA7-CAC2-486B-DB8E59F7644A}"/>
            </a:ext>
          </a:extLst>
        </cdr:cNvPr>
        <cdr:cNvSpPr txBox="1"/>
      </cdr:nvSpPr>
      <cdr:spPr>
        <a:xfrm xmlns:a="http://schemas.openxmlformats.org/drawingml/2006/main">
          <a:off x="7051216" y="3825851"/>
          <a:ext cx="1104900" cy="673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chemeClr val="tx1"/>
              </a:solidFill>
            </a:rPr>
            <a:t>Solar R/T</a:t>
          </a:r>
        </a:p>
      </cdr:txBody>
    </cdr:sp>
  </cdr:relSizeAnchor>
  <cdr:relSizeAnchor xmlns:cdr="http://schemas.openxmlformats.org/drawingml/2006/chartDrawing">
    <cdr:from>
      <cdr:x>0.57984</cdr:x>
      <cdr:y>0.37678</cdr:y>
    </cdr:from>
    <cdr:to>
      <cdr:x>0.65339</cdr:x>
      <cdr:y>0.4127</cdr:y>
    </cdr:to>
    <cdr:sp macro="" textlink="">
      <cdr:nvSpPr>
        <cdr:cNvPr id="19" name="TextBox 18">
          <a:extLst xmlns:a="http://schemas.openxmlformats.org/drawingml/2006/main">
            <a:ext uri="{FF2B5EF4-FFF2-40B4-BE49-F238E27FC236}">
              <a16:creationId xmlns:a16="http://schemas.microsoft.com/office/drawing/2014/main" id="{8D8BF62A-C520-4B4A-E973-7211A7F9B4D5}"/>
            </a:ext>
          </a:extLst>
        </cdr:cNvPr>
        <cdr:cNvSpPr txBox="1"/>
      </cdr:nvSpPr>
      <cdr:spPr>
        <a:xfrm xmlns:a="http://schemas.openxmlformats.org/drawingml/2006/main">
          <a:off x="7005312" y="3148233"/>
          <a:ext cx="888599" cy="300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chemeClr val="tx1"/>
              </a:solidFill>
            </a:rPr>
            <a:t>Solar UT</a:t>
          </a:r>
        </a:p>
      </cdr:txBody>
    </cdr:sp>
  </cdr:relSizeAnchor>
  <cdr:relSizeAnchor xmlns:cdr="http://schemas.openxmlformats.org/drawingml/2006/chartDrawing">
    <cdr:from>
      <cdr:x>0.51203</cdr:x>
      <cdr:y>0.34946</cdr:y>
    </cdr:from>
    <cdr:to>
      <cdr:x>0.58558</cdr:x>
      <cdr:y>0.39113</cdr:y>
    </cdr:to>
    <cdr:sp macro="" textlink="">
      <cdr:nvSpPr>
        <cdr:cNvPr id="20" name="TextBox 19">
          <a:extLst xmlns:a="http://schemas.openxmlformats.org/drawingml/2006/main">
            <a:ext uri="{FF2B5EF4-FFF2-40B4-BE49-F238E27FC236}">
              <a16:creationId xmlns:a16="http://schemas.microsoft.com/office/drawing/2014/main" id="{2454F75F-73B8-29E8-1A95-5CED44CA376E}"/>
            </a:ext>
          </a:extLst>
        </cdr:cNvPr>
        <cdr:cNvSpPr txBox="1"/>
      </cdr:nvSpPr>
      <cdr:spPr>
        <a:xfrm xmlns:a="http://schemas.openxmlformats.org/drawingml/2006/main">
          <a:off x="6365416" y="3089251"/>
          <a:ext cx="914400" cy="368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>
              <a:solidFill>
                <a:schemeClr val="tx1"/>
              </a:solidFill>
            </a:rPr>
            <a:t>Wind</a:t>
          </a:r>
        </a:p>
      </cdr:txBody>
    </cdr:sp>
  </cdr:relSizeAnchor>
  <cdr:relSizeAnchor xmlns:cdr="http://schemas.openxmlformats.org/drawingml/2006/chartDrawing">
    <cdr:from>
      <cdr:x>0.45079</cdr:x>
      <cdr:y>0.30732</cdr:y>
    </cdr:from>
    <cdr:to>
      <cdr:x>0.50429</cdr:x>
      <cdr:y>0.35342</cdr:y>
    </cdr:to>
    <cdr:sp macro="" textlink="">
      <cdr:nvSpPr>
        <cdr:cNvPr id="21" name="TextBox 20">
          <a:extLst xmlns:a="http://schemas.openxmlformats.org/drawingml/2006/main">
            <a:ext uri="{FF2B5EF4-FFF2-40B4-BE49-F238E27FC236}">
              <a16:creationId xmlns:a16="http://schemas.microsoft.com/office/drawing/2014/main" id="{154B55D1-D7B5-0AFE-EDE2-D2EFCD6D4AC1}"/>
            </a:ext>
          </a:extLst>
        </cdr:cNvPr>
        <cdr:cNvSpPr txBox="1"/>
      </cdr:nvSpPr>
      <cdr:spPr>
        <a:xfrm xmlns:a="http://schemas.openxmlformats.org/drawingml/2006/main">
          <a:off x="5446264" y="2567903"/>
          <a:ext cx="646359" cy="385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rgbClr val="FFFF00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0.40592</cdr:x>
      <cdr:y>0.57058</cdr:y>
    </cdr:from>
    <cdr:to>
      <cdr:x>0.45315</cdr:x>
      <cdr:y>0.61607</cdr:y>
    </cdr:to>
    <cdr:sp macro="" textlink="">
      <cdr:nvSpPr>
        <cdr:cNvPr id="22" name="TextBox 21">
          <a:extLst xmlns:a="http://schemas.openxmlformats.org/drawingml/2006/main">
            <a:ext uri="{FF2B5EF4-FFF2-40B4-BE49-F238E27FC236}">
              <a16:creationId xmlns:a16="http://schemas.microsoft.com/office/drawing/2014/main" id="{83CE4A86-F64A-7379-2289-E4B6964E087B}"/>
            </a:ext>
          </a:extLst>
        </cdr:cNvPr>
        <cdr:cNvSpPr txBox="1"/>
      </cdr:nvSpPr>
      <cdr:spPr>
        <a:xfrm xmlns:a="http://schemas.openxmlformats.org/drawingml/2006/main">
          <a:off x="4904140" y="4767610"/>
          <a:ext cx="570646" cy="380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rgbClr val="FFFF00"/>
              </a:solidFill>
            </a:rPr>
            <a:t>OCG</a:t>
          </a:r>
        </a:p>
      </cdr:txBody>
    </cdr:sp>
  </cdr:relSizeAnchor>
  <cdr:relSizeAnchor xmlns:cdr="http://schemas.openxmlformats.org/drawingml/2006/chartDrawing">
    <cdr:from>
      <cdr:x>0.23844</cdr:x>
      <cdr:y>0.54756</cdr:y>
    </cdr:from>
    <cdr:to>
      <cdr:x>0.31199</cdr:x>
      <cdr:y>0.58757</cdr:y>
    </cdr:to>
    <cdr:sp macro="" textlink="">
      <cdr:nvSpPr>
        <cdr:cNvPr id="23" name="TextBox 22">
          <a:extLst xmlns:a="http://schemas.openxmlformats.org/drawingml/2006/main">
            <a:ext uri="{FF2B5EF4-FFF2-40B4-BE49-F238E27FC236}">
              <a16:creationId xmlns:a16="http://schemas.microsoft.com/office/drawing/2014/main" id="{C9EBD611-9913-30F5-9B59-27EB6AEA65FD}"/>
            </a:ext>
          </a:extLst>
        </cdr:cNvPr>
        <cdr:cNvSpPr txBox="1"/>
      </cdr:nvSpPr>
      <cdr:spPr>
        <a:xfrm xmlns:a="http://schemas.openxmlformats.org/drawingml/2006/main">
          <a:off x="2880697" y="4575219"/>
          <a:ext cx="888599" cy="334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rgbClr val="FFFF00"/>
              </a:solidFill>
            </a:rPr>
            <a:t>CCGT</a:t>
          </a:r>
        </a:p>
      </cdr:txBody>
    </cdr:sp>
  </cdr:relSizeAnchor>
  <cdr:relSizeAnchor xmlns:cdr="http://schemas.openxmlformats.org/drawingml/2006/chartDrawing">
    <cdr:from>
      <cdr:x>0.24335</cdr:x>
      <cdr:y>0.7115</cdr:y>
    </cdr:from>
    <cdr:to>
      <cdr:x>0.32744</cdr:x>
      <cdr:y>0.75471</cdr:y>
    </cdr:to>
    <cdr:sp macro="" textlink="">
      <cdr:nvSpPr>
        <cdr:cNvPr id="24" name="TextBox 23">
          <a:extLst xmlns:a="http://schemas.openxmlformats.org/drawingml/2006/main">
            <a:ext uri="{FF2B5EF4-FFF2-40B4-BE49-F238E27FC236}">
              <a16:creationId xmlns:a16="http://schemas.microsoft.com/office/drawing/2014/main" id="{689A3988-FE62-9C37-028F-BC6CEDD9048A}"/>
            </a:ext>
          </a:extLst>
        </cdr:cNvPr>
        <cdr:cNvSpPr txBox="1"/>
      </cdr:nvSpPr>
      <cdr:spPr>
        <a:xfrm xmlns:a="http://schemas.openxmlformats.org/drawingml/2006/main">
          <a:off x="2940048" y="5945087"/>
          <a:ext cx="1015887" cy="361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chemeClr val="bg1"/>
              </a:solidFill>
            </a:rPr>
            <a:t>Black Coal</a:t>
          </a:r>
        </a:p>
      </cdr:txBody>
    </cdr:sp>
  </cdr:relSizeAnchor>
  <cdr:relSizeAnchor xmlns:cdr="http://schemas.openxmlformats.org/drawingml/2006/chartDrawing">
    <cdr:from>
      <cdr:x>0.19738</cdr:x>
      <cdr:y>0.61381</cdr:y>
    </cdr:from>
    <cdr:to>
      <cdr:x>0.27094</cdr:x>
      <cdr:y>0.67271</cdr:y>
    </cdr:to>
    <cdr:sp macro="" textlink="">
      <cdr:nvSpPr>
        <cdr:cNvPr id="25" name="TextBox 24">
          <a:extLst xmlns:a="http://schemas.openxmlformats.org/drawingml/2006/main">
            <a:ext uri="{FF2B5EF4-FFF2-40B4-BE49-F238E27FC236}">
              <a16:creationId xmlns:a16="http://schemas.microsoft.com/office/drawing/2014/main" id="{7E3EE0C1-C750-01D5-99F0-6F5EB6B7F82A}"/>
            </a:ext>
          </a:extLst>
        </cdr:cNvPr>
        <cdr:cNvSpPr txBox="1"/>
      </cdr:nvSpPr>
      <cdr:spPr>
        <a:xfrm xmlns:a="http://schemas.openxmlformats.org/drawingml/2006/main">
          <a:off x="2453816" y="5426051"/>
          <a:ext cx="914400" cy="520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ysClr val="windowText" lastClr="000000"/>
              </a:solidFill>
            </a:rPr>
            <a:t>Brown Coal</a:t>
          </a:r>
        </a:p>
      </cdr:txBody>
    </cdr:sp>
  </cdr:relSizeAnchor>
  <cdr:relSizeAnchor xmlns:cdr="http://schemas.openxmlformats.org/drawingml/2006/chartDrawing">
    <cdr:from>
      <cdr:x>0.30532</cdr:x>
      <cdr:y>0.23188</cdr:y>
    </cdr:from>
    <cdr:to>
      <cdr:x>0.44203</cdr:x>
      <cdr:y>0.2687</cdr:y>
    </cdr:to>
    <cdr:sp macro="" textlink="">
      <cdr:nvSpPr>
        <cdr:cNvPr id="26" name="TextBox 25">
          <a:extLst xmlns:a="http://schemas.openxmlformats.org/drawingml/2006/main">
            <a:ext uri="{FF2B5EF4-FFF2-40B4-BE49-F238E27FC236}">
              <a16:creationId xmlns:a16="http://schemas.microsoft.com/office/drawing/2014/main" id="{3F98DD18-B582-FAA3-B326-DBF73030C74B}"/>
            </a:ext>
          </a:extLst>
        </cdr:cNvPr>
        <cdr:cNvSpPr txBox="1"/>
      </cdr:nvSpPr>
      <cdr:spPr>
        <a:xfrm xmlns:a="http://schemas.openxmlformats.org/drawingml/2006/main">
          <a:off x="3688783" y="1937492"/>
          <a:ext cx="1651670" cy="307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/>
            <a:t>Emissions Intensity LCA</a:t>
          </a:r>
        </a:p>
      </cdr:txBody>
    </cdr:sp>
  </cdr:relSizeAnchor>
  <cdr:relSizeAnchor xmlns:cdr="http://schemas.openxmlformats.org/drawingml/2006/chartDrawing">
    <cdr:from>
      <cdr:x>0.74695</cdr:x>
      <cdr:y>0.59088</cdr:y>
    </cdr:from>
    <cdr:to>
      <cdr:x>0.82096</cdr:x>
      <cdr:y>0.64149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A91DA2CE-7715-29BD-889E-0F620473DAEC}"/>
            </a:ext>
          </a:extLst>
        </cdr:cNvPr>
        <cdr:cNvSpPr txBox="1"/>
      </cdr:nvSpPr>
      <cdr:spPr>
        <a:xfrm xmlns:a="http://schemas.openxmlformats.org/drawingml/2006/main">
          <a:off x="9024277" y="4937238"/>
          <a:ext cx="894157" cy="42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/>
            <a:t>Nuclear</a:t>
          </a:r>
        </a:p>
      </cdr:txBody>
    </cdr:sp>
  </cdr:relSizeAnchor>
  <cdr:relSizeAnchor xmlns:cdr="http://schemas.openxmlformats.org/drawingml/2006/chartDrawing">
    <cdr:from>
      <cdr:x>0.09571</cdr:x>
      <cdr:y>0.58603</cdr:y>
    </cdr:from>
    <cdr:to>
      <cdr:x>0.1714</cdr:x>
      <cdr:y>0.63764</cdr:y>
    </cdr:to>
    <cdr:sp macro="" textlink="">
      <cdr:nvSpPr>
        <cdr:cNvPr id="28" name="TextBox 27">
          <a:extLst xmlns:a="http://schemas.openxmlformats.org/drawingml/2006/main">
            <a:ext uri="{FF2B5EF4-FFF2-40B4-BE49-F238E27FC236}">
              <a16:creationId xmlns:a16="http://schemas.microsoft.com/office/drawing/2014/main" id="{82BE0428-598C-B29E-34EC-8C61E8546DB2}"/>
            </a:ext>
          </a:extLst>
        </cdr:cNvPr>
        <cdr:cNvSpPr txBox="1"/>
      </cdr:nvSpPr>
      <cdr:spPr>
        <a:xfrm xmlns:a="http://schemas.openxmlformats.org/drawingml/2006/main">
          <a:off x="1156357" y="4896701"/>
          <a:ext cx="914400" cy="431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 kern="1200"/>
            <a:t>Brown Coal</a:t>
          </a:r>
        </a:p>
      </cdr:txBody>
    </cdr:sp>
  </cdr:relSizeAnchor>
  <cdr:relSizeAnchor xmlns:cdr="http://schemas.openxmlformats.org/drawingml/2006/chartDrawing">
    <cdr:from>
      <cdr:x>0.13566</cdr:x>
      <cdr:y>0.31337</cdr:y>
    </cdr:from>
    <cdr:to>
      <cdr:x>0.21135</cdr:x>
      <cdr:y>0.4228</cdr:y>
    </cdr:to>
    <cdr:sp macro="" textlink="">
      <cdr:nvSpPr>
        <cdr:cNvPr id="29" name="TextBox 28">
          <a:extLst xmlns:a="http://schemas.openxmlformats.org/drawingml/2006/main">
            <a:ext uri="{FF2B5EF4-FFF2-40B4-BE49-F238E27FC236}">
              <a16:creationId xmlns:a16="http://schemas.microsoft.com/office/drawing/2014/main" id="{D8168232-6489-1DF0-AB29-C4BDB61D54B2}"/>
            </a:ext>
          </a:extLst>
        </cdr:cNvPr>
        <cdr:cNvSpPr txBox="1"/>
      </cdr:nvSpPr>
      <cdr:spPr>
        <a:xfrm xmlns:a="http://schemas.openxmlformats.org/drawingml/2006/main">
          <a:off x="1639043" y="26184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 kern="1200"/>
            <a:t>Emissions Intensity Fuel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26748</xdr:colOff>
      <xdr:row>10</xdr:row>
      <xdr:rowOff>26306</xdr:rowOff>
    </xdr:from>
    <xdr:to>
      <xdr:col>54</xdr:col>
      <xdr:colOff>396753</xdr:colOff>
      <xdr:row>35</xdr:row>
      <xdr:rowOff>211667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13DE94-E0E1-4EC6-B8A4-7BF0687FA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181211</xdr:colOff>
      <xdr:row>36</xdr:row>
      <xdr:rowOff>228195</xdr:rowOff>
    </xdr:from>
    <xdr:to>
      <xdr:col>54</xdr:col>
      <xdr:colOff>582740</xdr:colOff>
      <xdr:row>60</xdr:row>
      <xdr:rowOff>174447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8D3ABB-E9CF-4AC6-9846-6990C4FAF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712382</xdr:colOff>
      <xdr:row>40</xdr:row>
      <xdr:rowOff>87251</xdr:rowOff>
    </xdr:from>
    <xdr:to>
      <xdr:col>27</xdr:col>
      <xdr:colOff>98323</xdr:colOff>
      <xdr:row>89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F1A61B-E250-464E-80E8-C962214CE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101</xdr:row>
      <xdr:rowOff>0</xdr:rowOff>
    </xdr:from>
    <xdr:to>
      <xdr:col>22</xdr:col>
      <xdr:colOff>290606</xdr:colOff>
      <xdr:row>141</xdr:row>
      <xdr:rowOff>33063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A6EB8A7-C131-4AC2-BFF0-BB3485AA9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b\Documents\02%20-%20NFC\Teds%20stuff\Transition%20R1.xlsx" TargetMode="External"/><Relationship Id="rId1" Type="http://schemas.openxmlformats.org/officeDocument/2006/relationships/externalLinkPath" Target="Transition%20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3 Graph "/>
      <sheetName val="Sc2b Graph"/>
      <sheetName val="Sc 3"/>
      <sheetName val="ScF1 Graph"/>
      <sheetName val="Sc F1"/>
      <sheetName val="Sheet2"/>
      <sheetName val="Sc 2b"/>
      <sheetName val="Sheet1"/>
      <sheetName val="Nuclear Programme"/>
      <sheetName val="Base-Inter 275TW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5C59-66BF-40C6-8228-CBAA5B2718BA}">
  <dimension ref="A5:O39"/>
  <sheetViews>
    <sheetView topLeftCell="A14" zoomScale="89" zoomScaleNormal="89" workbookViewId="0">
      <selection activeCell="C34" sqref="C34"/>
    </sheetView>
  </sheetViews>
  <sheetFormatPr defaultColWidth="8.77734375" defaultRowHeight="14.4" x14ac:dyDescent="0.3"/>
  <cols>
    <col min="1" max="1" width="8.77734375" style="1"/>
    <col min="2" max="2" width="15.6640625" style="1" customWidth="1"/>
    <col min="3" max="3" width="14.88671875" style="1" bestFit="1" customWidth="1"/>
    <col min="4" max="8" width="8.77734375" style="1"/>
    <col min="9" max="9" width="10.44140625" style="1" bestFit="1" customWidth="1"/>
    <col min="10" max="10" width="8.77734375" style="1"/>
    <col min="11" max="11" width="9.21875" style="1" bestFit="1" customWidth="1"/>
    <col min="12" max="13" width="8.77734375" style="1"/>
    <col min="14" max="14" width="15.21875" style="1" bestFit="1" customWidth="1"/>
    <col min="15" max="16384" width="8.77734375" style="1"/>
  </cols>
  <sheetData>
    <row r="5" spans="2:10" x14ac:dyDescent="0.3">
      <c r="B5" s="1" t="s">
        <v>1</v>
      </c>
      <c r="C5" s="5">
        <f>0.36*C22</f>
        <v>72</v>
      </c>
      <c r="D5" s="11">
        <f>0.4*D22</f>
        <v>83.932840000000013</v>
      </c>
      <c r="E5" s="11">
        <f>0.336*E22</f>
        <v>73.477689600000005</v>
      </c>
      <c r="F5" s="11">
        <f>0.121*F22</f>
        <v>27.829407100000001</v>
      </c>
      <c r="G5" s="11">
        <f>0.076*G22</f>
        <v>18.526261600000002</v>
      </c>
      <c r="H5" s="11">
        <f>0*H22</f>
        <v>0</v>
      </c>
      <c r="I5" s="11">
        <v>0</v>
      </c>
      <c r="J5" s="11">
        <f>0*$J$22</f>
        <v>0</v>
      </c>
    </row>
    <row r="6" spans="2:10" x14ac:dyDescent="0.3">
      <c r="B6" s="1" t="s">
        <v>2</v>
      </c>
      <c r="C6" s="5">
        <f>0.18*$C$22</f>
        <v>36</v>
      </c>
      <c r="D6" s="11">
        <f>0.082*D22</f>
        <v>17.206232200000002</v>
      </c>
      <c r="E6" s="11">
        <f>0.051*E22</f>
        <v>11.1528636</v>
      </c>
      <c r="F6" s="11">
        <f>0.034*F22</f>
        <v>7.8198334000000012</v>
      </c>
      <c r="G6" s="11">
        <f>0.019*G22</f>
        <v>4.6315654000000004</v>
      </c>
      <c r="H6" s="11">
        <v>0</v>
      </c>
      <c r="I6" s="11">
        <v>0</v>
      </c>
      <c r="J6" s="11">
        <f t="shared" ref="J6" si="0">0*$J$22</f>
        <v>0</v>
      </c>
    </row>
    <row r="7" spans="2:10" x14ac:dyDescent="0.3">
      <c r="B7" s="1" t="s">
        <v>4</v>
      </c>
      <c r="C7" s="5">
        <f>0*$C$22</f>
        <v>0</v>
      </c>
      <c r="D7" s="11">
        <f>0*D22</f>
        <v>0</v>
      </c>
      <c r="E7" s="12">
        <f>0.024*E22</f>
        <v>5.2484064000000004</v>
      </c>
      <c r="F7" s="11">
        <f>0.244*F22</f>
        <v>56.118804400000002</v>
      </c>
      <c r="G7" s="11">
        <f>0.407*G22</f>
        <v>99.213006199999995</v>
      </c>
      <c r="H7" s="11">
        <f>0.598*H22</f>
        <v>155.4788638</v>
      </c>
      <c r="I7" s="11">
        <f>0.644*I22</f>
        <v>179.47610240000003</v>
      </c>
      <c r="J7" s="11">
        <f>0.689*$J$22</f>
        <v>206.59051789999998</v>
      </c>
    </row>
    <row r="8" spans="2:10" x14ac:dyDescent="0.3">
      <c r="B8" s="1" t="s">
        <v>5</v>
      </c>
      <c r="C8" s="5">
        <f>0*C24</f>
        <v>0</v>
      </c>
      <c r="D8" s="11">
        <f>0.001*D22</f>
        <v>0.20983210000000002</v>
      </c>
      <c r="E8" s="11">
        <f>0.052*E22</f>
        <v>11.3715472</v>
      </c>
      <c r="F8" s="11">
        <f>0.054*F22</f>
        <v>12.4197354</v>
      </c>
      <c r="G8" s="11">
        <f>0.008*G22</f>
        <v>1.9501328000000002</v>
      </c>
      <c r="H8" s="11">
        <f>0.004*H22</f>
        <v>1.0399924</v>
      </c>
      <c r="I8" s="11">
        <f>0*I22</f>
        <v>0</v>
      </c>
      <c r="J8" s="11">
        <f>0*$J$22</f>
        <v>0</v>
      </c>
    </row>
    <row r="9" spans="2:10" x14ac:dyDescent="0.3">
      <c r="B9" s="1" t="s">
        <v>6</v>
      </c>
      <c r="C9" s="5"/>
      <c r="D9" s="11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f>0*$J$22</f>
        <v>0</v>
      </c>
    </row>
    <row r="10" spans="2:10" x14ac:dyDescent="0.3">
      <c r="B10" s="1" t="s">
        <v>7</v>
      </c>
      <c r="C10" s="5">
        <f>0.036*C22</f>
        <v>7.1999999999999993</v>
      </c>
      <c r="D10" s="11">
        <f>0.091*D22</f>
        <v>19.094721100000001</v>
      </c>
      <c r="E10" s="11">
        <f>0.055*E22</f>
        <v>12.027598000000001</v>
      </c>
      <c r="F10" s="11">
        <f>0.09*F22</f>
        <v>20.699559000000001</v>
      </c>
      <c r="G10" s="11">
        <f>0.082*G22</f>
        <v>19.988861200000002</v>
      </c>
      <c r="H10" s="11">
        <f>0*H22</f>
        <v>0</v>
      </c>
      <c r="I10" s="11">
        <f>0*I22</f>
        <v>0</v>
      </c>
      <c r="J10" s="11">
        <f>0*$J$22</f>
        <v>0</v>
      </c>
    </row>
    <row r="11" spans="2:10" x14ac:dyDescent="0.3">
      <c r="B11" s="1" t="s">
        <v>8</v>
      </c>
      <c r="C11" s="11">
        <f>0.125*C22</f>
        <v>25</v>
      </c>
      <c r="D11" s="9">
        <f>0.155*D22</f>
        <v>32.523975500000006</v>
      </c>
      <c r="E11" s="9">
        <f>0.149*E22</f>
        <v>32.583856400000002</v>
      </c>
      <c r="F11" s="9">
        <f>0.142*F22</f>
        <v>32.659304200000001</v>
      </c>
      <c r="G11" s="9">
        <f>0.134*G22</f>
        <v>32.664724400000004</v>
      </c>
      <c r="H11" s="9">
        <f>0.132*H22</f>
        <v>34.319749200000004</v>
      </c>
      <c r="I11" s="9">
        <f>0.122*I22</f>
        <v>34.000131200000006</v>
      </c>
      <c r="J11" s="11">
        <f>0.112*$J$22</f>
        <v>33.582203200000002</v>
      </c>
    </row>
    <row r="12" spans="2:10" x14ac:dyDescent="0.3">
      <c r="B12" s="1" t="s">
        <v>9</v>
      </c>
      <c r="C12" s="5">
        <f>0.089*C22</f>
        <v>17.8</v>
      </c>
      <c r="D12" s="11">
        <f>0.081*D22</f>
        <v>16.996400100000002</v>
      </c>
      <c r="E12" s="11">
        <f>0.092*E22</f>
        <v>20.1188912</v>
      </c>
      <c r="F12" s="11">
        <f>0.087*F22</f>
        <v>20.009573700000001</v>
      </c>
      <c r="G12" s="11">
        <f>0.077*G22</f>
        <v>18.770028200000002</v>
      </c>
      <c r="H12" s="11">
        <f>0.063*H22</f>
        <v>16.3798803</v>
      </c>
      <c r="I12" s="11">
        <f>0.053*I22</f>
        <v>14.770548800000002</v>
      </c>
      <c r="J12" s="11">
        <f>0.043*$J$22</f>
        <v>12.893167299999998</v>
      </c>
    </row>
    <row r="13" spans="2:10" x14ac:dyDescent="0.3">
      <c r="B13" s="1" t="s">
        <v>10</v>
      </c>
      <c r="C13" s="5">
        <f>0.141*C22</f>
        <v>28.199999999999996</v>
      </c>
      <c r="D13" s="9">
        <f>0.131*D22</f>
        <v>27.488005100000006</v>
      </c>
      <c r="E13" s="9">
        <f>0.187*E22</f>
        <v>40.893833200000003</v>
      </c>
      <c r="F13" s="9">
        <f>0.175*F22</f>
        <v>40.249142499999998</v>
      </c>
      <c r="G13" s="9">
        <f>0.146*G22</f>
        <v>35.589923599999999</v>
      </c>
      <c r="H13" s="9">
        <f>0.158*H22</f>
        <v>41.079699800000007</v>
      </c>
      <c r="I13" s="9">
        <f>0.133*I22</f>
        <v>37.065716800000004</v>
      </c>
      <c r="J13" s="11">
        <f>0.111*$J$22</f>
        <v>33.2823621</v>
      </c>
    </row>
    <row r="14" spans="2:10" x14ac:dyDescent="0.3">
      <c r="B14" s="1" t="s">
        <v>11</v>
      </c>
      <c r="C14" s="5">
        <f>0.068*C22</f>
        <v>13.600000000000001</v>
      </c>
      <c r="D14" s="11">
        <f>0.065*D22</f>
        <v>13.639086500000003</v>
      </c>
      <c r="E14" s="11">
        <f>0.063*E22</f>
        <v>13.7770668</v>
      </c>
      <c r="F14" s="11">
        <f>0.06*F22</f>
        <v>13.799706</v>
      </c>
      <c r="G14" s="11">
        <f>0.056*G22</f>
        <v>13.650929600000001</v>
      </c>
      <c r="H14" s="11">
        <f>0.052*H22</f>
        <v>13.519901200000001</v>
      </c>
      <c r="I14" s="11">
        <f>0.049*I22</f>
        <v>13.655790400000003</v>
      </c>
      <c r="J14" s="11">
        <f>0.045*$J$22</f>
        <v>13.492849499999998</v>
      </c>
    </row>
    <row r="15" spans="2:10" x14ac:dyDescent="0.3">
      <c r="B15" s="1" t="s">
        <v>32</v>
      </c>
      <c r="C15" s="5">
        <v>0</v>
      </c>
      <c r="D15" s="11">
        <v>0</v>
      </c>
      <c r="E15" s="5">
        <v>0</v>
      </c>
      <c r="F15" s="11">
        <v>0</v>
      </c>
      <c r="G15" s="11">
        <v>0</v>
      </c>
      <c r="H15" s="11">
        <v>0</v>
      </c>
      <c r="I15" s="11">
        <v>0</v>
      </c>
      <c r="J15" s="11">
        <f>0*$J$22</f>
        <v>0</v>
      </c>
    </row>
    <row r="16" spans="2:10" x14ac:dyDescent="0.3">
      <c r="B16" s="1" t="s">
        <v>12</v>
      </c>
      <c r="C16" s="5">
        <v>0</v>
      </c>
      <c r="D16" s="11">
        <f>-0.005*D22</f>
        <v>-1.0491605000000002</v>
      </c>
      <c r="E16" s="11">
        <f>-0.007*E22</f>
        <v>-1.5307852000000002</v>
      </c>
      <c r="F16" s="11">
        <f>-0.006*F22</f>
        <v>-1.3799706</v>
      </c>
      <c r="G16" s="11">
        <f>-0.004*G22</f>
        <v>-0.97506640000000011</v>
      </c>
      <c r="H16" s="11">
        <f>-0.006*H22</f>
        <v>-1.5599886000000001</v>
      </c>
      <c r="I16" s="11">
        <f>-0.001*I22</f>
        <v>-0.27868960000000004</v>
      </c>
      <c r="J16" s="11">
        <f>-0.001*J22</f>
        <v>-0.29984109999999997</v>
      </c>
    </row>
    <row r="17" spans="1:15" x14ac:dyDescent="0.3">
      <c r="B17" s="1" t="s">
        <v>33</v>
      </c>
      <c r="C17" s="5"/>
      <c r="D17" s="11"/>
      <c r="E17" s="11"/>
      <c r="F17" s="11"/>
      <c r="G17" s="11"/>
      <c r="H17" s="5"/>
      <c r="I17" s="11"/>
      <c r="J17" s="11"/>
    </row>
    <row r="18" spans="1:15" x14ac:dyDescent="0.3">
      <c r="C18" s="5"/>
      <c r="D18" s="5"/>
      <c r="E18" s="5"/>
      <c r="F18" s="5"/>
      <c r="G18" s="5"/>
      <c r="H18" s="5"/>
      <c r="I18" s="5"/>
      <c r="J18" s="5"/>
    </row>
    <row r="19" spans="1:15" x14ac:dyDescent="0.3">
      <c r="B19" s="1" t="s">
        <v>14</v>
      </c>
      <c r="C19" s="15">
        <f>SUM(C5:C18)</f>
        <v>199.79999999999998</v>
      </c>
      <c r="D19" s="15">
        <f t="shared" ref="D19:J19" si="1">SUM(D5:D18)</f>
        <v>210.04193210000005</v>
      </c>
      <c r="E19" s="15">
        <f t="shared" si="1"/>
        <v>219.12096720000002</v>
      </c>
      <c r="F19" s="15">
        <f t="shared" si="1"/>
        <v>230.2250951</v>
      </c>
      <c r="G19" s="15">
        <f>SUM(G5:G16)</f>
        <v>244.01036660000003</v>
      </c>
      <c r="H19" s="15">
        <f>SUM(H5:H16)</f>
        <v>260.25809810000004</v>
      </c>
      <c r="I19" s="13">
        <f>SUM(I5:I18)</f>
        <v>278.68960000000004</v>
      </c>
      <c r="J19" s="13">
        <f t="shared" si="1"/>
        <v>299.54125889999995</v>
      </c>
      <c r="L19" s="13"/>
    </row>
    <row r="20" spans="1:15" x14ac:dyDescent="0.3">
      <c r="C20" s="18">
        <v>45108</v>
      </c>
      <c r="D20" s="18">
        <v>47665</v>
      </c>
      <c r="E20" s="18">
        <v>49491</v>
      </c>
      <c r="F20" s="18">
        <v>51318</v>
      </c>
      <c r="G20" s="18">
        <v>53144</v>
      </c>
      <c r="H20" s="18">
        <v>54970</v>
      </c>
      <c r="I20" s="18">
        <v>56796</v>
      </c>
      <c r="J20" s="18">
        <v>58623</v>
      </c>
      <c r="K20" s="17"/>
      <c r="L20" s="17"/>
      <c r="M20" s="17"/>
      <c r="N20" s="17"/>
      <c r="O20" s="17"/>
    </row>
    <row r="21" spans="1:15" x14ac:dyDescent="0.3">
      <c r="C21" s="5">
        <v>199.2</v>
      </c>
      <c r="D21" s="5"/>
      <c r="E21" s="5"/>
      <c r="F21" s="5"/>
      <c r="G21" s="5"/>
      <c r="H21" s="5"/>
      <c r="I21" s="5"/>
      <c r="J21" s="5"/>
    </row>
    <row r="22" spans="1:15" x14ac:dyDescent="0.3">
      <c r="B22" s="1" t="s">
        <v>15</v>
      </c>
      <c r="C22" s="5">
        <v>200</v>
      </c>
      <c r="D22" s="15">
        <f>'Sc RP4'!J24</f>
        <v>209.83210000000003</v>
      </c>
      <c r="E22" s="15">
        <f>'Sc RP4'!O24</f>
        <v>218.68360000000001</v>
      </c>
      <c r="F22" s="15">
        <f>'Sc RP4'!T24</f>
        <v>229.99510000000001</v>
      </c>
      <c r="G22" s="15">
        <f>'Sc RP4'!Y24</f>
        <v>243.76660000000001</v>
      </c>
      <c r="H22" s="15">
        <f>'Sc RP4'!AD24</f>
        <v>259.99810000000002</v>
      </c>
      <c r="I22" s="15">
        <f>'Sc RP4'!AI24</f>
        <v>278.68960000000004</v>
      </c>
      <c r="J22" s="15">
        <f>'Sc RP4'!AN24</f>
        <v>299.84109999999998</v>
      </c>
    </row>
    <row r="23" spans="1:15" x14ac:dyDescent="0.3">
      <c r="C23" s="21">
        <f>C22/$C$21</f>
        <v>1.0040160642570282</v>
      </c>
      <c r="D23" s="21">
        <f t="shared" ref="D23:J23" si="2">D22/$C$21</f>
        <v>1.0533739959839359</v>
      </c>
      <c r="E23" s="21">
        <f t="shared" si="2"/>
        <v>1.0978092369477912</v>
      </c>
      <c r="F23" s="21">
        <f t="shared" si="2"/>
        <v>1.1545938755020082</v>
      </c>
      <c r="G23" s="21">
        <f t="shared" si="2"/>
        <v>1.2237279116465865</v>
      </c>
      <c r="H23" s="21">
        <f t="shared" si="2"/>
        <v>1.3052113453815264</v>
      </c>
      <c r="I23" s="21">
        <f>'Sc RP4'!AI25</f>
        <v>1.3990441767068276</v>
      </c>
      <c r="J23" s="21">
        <f t="shared" si="2"/>
        <v>1.50522640562249</v>
      </c>
      <c r="N23" s="22"/>
    </row>
    <row r="24" spans="1:15" x14ac:dyDescent="0.3">
      <c r="B24" s="1" t="s">
        <v>16</v>
      </c>
      <c r="C24" s="23">
        <v>551</v>
      </c>
      <c r="D24" s="23">
        <v>1220</v>
      </c>
      <c r="E24" s="23">
        <v>1215</v>
      </c>
      <c r="F24" s="24">
        <v>1216</v>
      </c>
      <c r="G24" s="24">
        <v>1219</v>
      </c>
      <c r="H24" s="24">
        <v>1212</v>
      </c>
      <c r="I24" s="24">
        <v>1209</v>
      </c>
      <c r="J24" s="24">
        <v>1208</v>
      </c>
      <c r="N24" s="25"/>
    </row>
    <row r="25" spans="1:15" x14ac:dyDescent="0.3">
      <c r="A25" s="31" t="s">
        <v>34</v>
      </c>
      <c r="B25" s="1" t="s">
        <v>18</v>
      </c>
      <c r="C25" s="28">
        <v>38.799999999999997</v>
      </c>
      <c r="D25" s="28">
        <v>38.9</v>
      </c>
      <c r="E25" s="26">
        <v>38.799999999999997</v>
      </c>
      <c r="F25" s="28">
        <v>39.200000000000003</v>
      </c>
      <c r="G25" s="28">
        <v>38.9</v>
      </c>
      <c r="H25" s="28">
        <v>39.200000000000003</v>
      </c>
      <c r="I25" s="28">
        <v>38.700000000000003</v>
      </c>
      <c r="J25" s="28">
        <v>35.5</v>
      </c>
    </row>
    <row r="26" spans="1:15" ht="19.05" customHeight="1" x14ac:dyDescent="0.3">
      <c r="A26" s="31" t="s">
        <v>19</v>
      </c>
      <c r="B26" s="1" t="s">
        <v>20</v>
      </c>
      <c r="C26" s="32">
        <v>556</v>
      </c>
      <c r="D26" s="32">
        <v>497</v>
      </c>
      <c r="E26" s="23">
        <v>421</v>
      </c>
      <c r="F26" s="32">
        <v>224</v>
      </c>
      <c r="G26" s="32">
        <v>132</v>
      </c>
      <c r="H26" s="32">
        <v>3</v>
      </c>
      <c r="I26" s="32">
        <v>0</v>
      </c>
      <c r="J26" s="32">
        <v>0</v>
      </c>
    </row>
    <row r="27" spans="1:15" ht="19.05" customHeight="1" x14ac:dyDescent="0.3">
      <c r="A27" s="31" t="s">
        <v>21</v>
      </c>
      <c r="B27" s="1" t="s">
        <v>20</v>
      </c>
      <c r="C27" s="32">
        <v>595</v>
      </c>
      <c r="D27" s="32">
        <v>542</v>
      </c>
      <c r="E27" s="23">
        <v>470</v>
      </c>
      <c r="F27" s="32">
        <v>272</v>
      </c>
      <c r="G27" s="32">
        <v>175</v>
      </c>
      <c r="H27" s="32">
        <v>48</v>
      </c>
      <c r="I27" s="32">
        <v>43</v>
      </c>
      <c r="J27" s="32">
        <v>41</v>
      </c>
    </row>
    <row r="28" spans="1:15" x14ac:dyDescent="0.3">
      <c r="A28" s="31" t="s">
        <v>35</v>
      </c>
      <c r="C28" s="28">
        <v>39</v>
      </c>
      <c r="D28" s="28">
        <v>39.9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</row>
    <row r="29" spans="1:15" x14ac:dyDescent="0.3">
      <c r="B29" s="1" t="s">
        <v>20</v>
      </c>
      <c r="C29" s="32">
        <f t="shared" ref="C29:D29" si="3">C26</f>
        <v>556</v>
      </c>
      <c r="D29" s="32">
        <f t="shared" si="3"/>
        <v>497</v>
      </c>
      <c r="E29" s="32">
        <f>E26</f>
        <v>421</v>
      </c>
      <c r="F29" s="32">
        <f t="shared" ref="F29:J29" si="4">F26</f>
        <v>224</v>
      </c>
      <c r="G29" s="32">
        <f t="shared" si="4"/>
        <v>132</v>
      </c>
      <c r="H29" s="32">
        <f t="shared" si="4"/>
        <v>3</v>
      </c>
      <c r="I29" s="32">
        <f t="shared" si="4"/>
        <v>0</v>
      </c>
      <c r="J29" s="32">
        <f t="shared" si="4"/>
        <v>0</v>
      </c>
      <c r="N29" s="27"/>
    </row>
    <row r="30" spans="1:15" x14ac:dyDescent="0.3">
      <c r="B30" s="1" t="s">
        <v>22</v>
      </c>
      <c r="C30" s="28">
        <v>2023</v>
      </c>
      <c r="D30" s="28">
        <v>2030</v>
      </c>
      <c r="E30" s="28">
        <v>2035</v>
      </c>
      <c r="F30" s="28">
        <v>2040</v>
      </c>
      <c r="G30" s="28">
        <v>2045</v>
      </c>
      <c r="H30" s="28">
        <v>2050</v>
      </c>
      <c r="I30" s="28">
        <v>2055</v>
      </c>
      <c r="J30" s="28">
        <v>2060</v>
      </c>
    </row>
    <row r="31" spans="1:15" x14ac:dyDescent="0.3">
      <c r="B31" s="1" t="s">
        <v>23</v>
      </c>
      <c r="C31" s="25">
        <v>27147000</v>
      </c>
      <c r="D31" s="25">
        <v>29930000</v>
      </c>
      <c r="E31" s="25">
        <v>31807000</v>
      </c>
      <c r="F31" s="25">
        <v>33603000</v>
      </c>
      <c r="G31" s="25">
        <v>35351000</v>
      </c>
      <c r="H31" s="25">
        <v>37077000</v>
      </c>
      <c r="I31" s="25">
        <v>38801000</v>
      </c>
      <c r="J31" s="25">
        <v>40536000</v>
      </c>
    </row>
    <row r="32" spans="1:15" x14ac:dyDescent="0.3">
      <c r="B32" s="1" t="s">
        <v>24</v>
      </c>
      <c r="C32" s="13">
        <f>C31/1000000</f>
        <v>27.146999999999998</v>
      </c>
      <c r="D32" s="13">
        <f t="shared" ref="D32:J32" si="5">D31/1000000</f>
        <v>29.93</v>
      </c>
      <c r="E32" s="13">
        <f t="shared" si="5"/>
        <v>31.806999999999999</v>
      </c>
      <c r="F32" s="13">
        <f t="shared" si="5"/>
        <v>33.603000000000002</v>
      </c>
      <c r="G32" s="13">
        <f t="shared" si="5"/>
        <v>35.350999999999999</v>
      </c>
      <c r="H32" s="13">
        <f t="shared" si="5"/>
        <v>37.076999999999998</v>
      </c>
      <c r="I32" s="13">
        <f t="shared" si="5"/>
        <v>38.801000000000002</v>
      </c>
      <c r="J32" s="13">
        <f t="shared" si="5"/>
        <v>40.536000000000001</v>
      </c>
    </row>
    <row r="33" spans="2:13" x14ac:dyDescent="0.3">
      <c r="B33" s="1" t="s">
        <v>25</v>
      </c>
      <c r="C33" s="8"/>
      <c r="D33" s="8">
        <f>((D7-C7)*1000000/D31/5)</f>
        <v>0</v>
      </c>
      <c r="E33" s="8">
        <f t="shared" ref="E33:J33" si="6">(E7-D7)*1000000/E31/5</f>
        <v>3.3001580784104131E-2</v>
      </c>
      <c r="F33" s="8">
        <f t="shared" si="6"/>
        <v>0.30277295479570276</v>
      </c>
      <c r="G33" s="8">
        <f t="shared" si="6"/>
        <v>0.243807540380753</v>
      </c>
      <c r="H33" s="8">
        <f t="shared" si="6"/>
        <v>0.30350814575073498</v>
      </c>
      <c r="I33" s="8">
        <f t="shared" si="6"/>
        <v>0.12369391819798474</v>
      </c>
      <c r="J33" s="8">
        <f t="shared" si="6"/>
        <v>0.13377943309650658</v>
      </c>
    </row>
    <row r="34" spans="2:13" x14ac:dyDescent="0.3">
      <c r="B34" s="1" t="s">
        <v>26</v>
      </c>
      <c r="C34" s="1">
        <v>0.92</v>
      </c>
    </row>
    <row r="35" spans="2:13" x14ac:dyDescent="0.3">
      <c r="B35" s="1" t="s">
        <v>27</v>
      </c>
      <c r="C35" s="29">
        <f>J7*1000000/(2060-2030)/AVERAGE(D31:J31)</f>
        <v>0.19507680612155426</v>
      </c>
    </row>
    <row r="36" spans="2:13" ht="28.8" x14ac:dyDescent="0.3">
      <c r="B36" s="30" t="s">
        <v>28</v>
      </c>
      <c r="C36" s="1">
        <v>3.5000000000000003E-2</v>
      </c>
    </row>
    <row r="37" spans="2:13" x14ac:dyDescent="0.3">
      <c r="L37" s="1">
        <v>2100</v>
      </c>
    </row>
    <row r="38" spans="2:13" x14ac:dyDescent="0.3">
      <c r="B38" s="1" t="s">
        <v>36</v>
      </c>
      <c r="C38" s="22">
        <f>C27*C19/1000</f>
        <v>118.88099999999999</v>
      </c>
      <c r="D38" s="22">
        <f>D27*D19/1000</f>
        <v>113.84272719820002</v>
      </c>
      <c r="E38" s="22">
        <f t="shared" ref="E38:J38" si="7">E27*E19/1000</f>
        <v>102.98685458400001</v>
      </c>
      <c r="F38" s="22">
        <f t="shared" si="7"/>
        <v>62.621225867200003</v>
      </c>
      <c r="G38" s="22">
        <f t="shared" si="7"/>
        <v>42.701814155000008</v>
      </c>
      <c r="H38" s="22">
        <f t="shared" si="7"/>
        <v>12.492388708800002</v>
      </c>
      <c r="I38" s="22">
        <f t="shared" si="7"/>
        <v>11.983652800000002</v>
      </c>
      <c r="J38" s="22">
        <f t="shared" si="7"/>
        <v>12.281191614899997</v>
      </c>
      <c r="L38" s="22">
        <f t="shared" ref="L38" si="8">L27*L19/1000</f>
        <v>0</v>
      </c>
    </row>
    <row r="39" spans="2:13" x14ac:dyDescent="0.3">
      <c r="B39" s="1" t="s">
        <v>36</v>
      </c>
      <c r="D39" s="33">
        <f>(C38+D38)*(D30-C30)/2</f>
        <v>814.53304519369999</v>
      </c>
      <c r="E39" s="33">
        <f t="shared" ref="E39:J39" si="9">(D38+E38)*(E30-D30)/2</f>
        <v>542.07395445550003</v>
      </c>
      <c r="F39" s="33">
        <f t="shared" si="9"/>
        <v>414.02020112800005</v>
      </c>
      <c r="G39" s="33">
        <f t="shared" si="9"/>
        <v>263.30760005550007</v>
      </c>
      <c r="H39" s="33">
        <f t="shared" si="9"/>
        <v>137.98550715950003</v>
      </c>
      <c r="I39" s="33">
        <f t="shared" si="9"/>
        <v>61.190103772000001</v>
      </c>
      <c r="J39" s="33">
        <f t="shared" si="9"/>
        <v>60.662111037249993</v>
      </c>
      <c r="K39" s="33">
        <f>SUM(D39:J39)</f>
        <v>2293.7725228014501</v>
      </c>
      <c r="L39" s="33">
        <f>(J38+L38)*(L30-J30)/2</f>
        <v>-12649.627363346997</v>
      </c>
      <c r="M39" s="33">
        <f>K39+L39</f>
        <v>-10355.854840545548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6AA5-8A25-49B9-B691-C4A64BE4B039}">
  <dimension ref="A2:AY37"/>
  <sheetViews>
    <sheetView tabSelected="1" zoomScale="62" zoomScaleNormal="62" workbookViewId="0">
      <selection activeCell="A6" sqref="A6:AN38"/>
    </sheetView>
  </sheetViews>
  <sheetFormatPr defaultColWidth="8.77734375" defaultRowHeight="14.4" x14ac:dyDescent="0.3"/>
  <cols>
    <col min="1" max="1" width="8.77734375" style="1"/>
    <col min="2" max="2" width="15.6640625" style="1" customWidth="1"/>
    <col min="3" max="40" width="10" style="1" bestFit="1" customWidth="1"/>
    <col min="41" max="43" width="8.77734375" style="1"/>
    <col min="44" max="44" width="15.21875" style="1" bestFit="1" customWidth="1"/>
    <col min="45" max="16384" width="8.77734375" style="1"/>
  </cols>
  <sheetData>
    <row r="2" spans="2:40" hidden="1" x14ac:dyDescent="0.3">
      <c r="B2" s="1" t="s">
        <v>0</v>
      </c>
      <c r="C2" s="1">
        <v>0.9</v>
      </c>
      <c r="J2" s="1">
        <v>0.9</v>
      </c>
      <c r="O2" s="1">
        <v>0.9</v>
      </c>
      <c r="T2" s="1">
        <v>0.9</v>
      </c>
      <c r="U2" s="1">
        <f>T12*T2</f>
        <v>3.9600000000000004</v>
      </c>
      <c r="Y2" s="1">
        <v>0.9</v>
      </c>
      <c r="AD2" s="1">
        <v>0.9</v>
      </c>
      <c r="AI2" s="1">
        <v>0.9</v>
      </c>
    </row>
    <row r="3" spans="2:40" hidden="1" x14ac:dyDescent="0.3">
      <c r="B3" s="1" t="s">
        <v>1</v>
      </c>
      <c r="C3" s="1">
        <f>C7*C2</f>
        <v>16.9407</v>
      </c>
      <c r="J3" s="1">
        <f>J7*J2</f>
        <v>11.466000000000001</v>
      </c>
      <c r="O3" s="1">
        <f>O7*O2</f>
        <v>9</v>
      </c>
      <c r="P3" s="1">
        <f>P7*O2</f>
        <v>6.39</v>
      </c>
      <c r="T3" s="1">
        <f>T7*T2</f>
        <v>3.4713000000000003</v>
      </c>
      <c r="U3" s="1">
        <f>T10*T2</f>
        <v>4.41</v>
      </c>
      <c r="Y3" s="1">
        <f>Y7*Y2</f>
        <v>2.7963</v>
      </c>
      <c r="AD3" s="1">
        <f>AD7*AD2</f>
        <v>0</v>
      </c>
      <c r="AI3" s="1">
        <f>AI7*AI2</f>
        <v>0</v>
      </c>
    </row>
    <row r="4" spans="2:40" hidden="1" x14ac:dyDescent="0.3">
      <c r="B4" s="1" t="s">
        <v>2</v>
      </c>
      <c r="C4" s="1">
        <f>C8*C2</f>
        <v>4.5846</v>
      </c>
      <c r="J4" s="1">
        <f>J8*J2</f>
        <v>2.9250000000000003</v>
      </c>
      <c r="O4" s="1">
        <f>O8*O2</f>
        <v>1.26</v>
      </c>
      <c r="P4" s="1">
        <v>2.21</v>
      </c>
      <c r="Q4" s="1">
        <f>O2*P4</f>
        <v>1.9890000000000001</v>
      </c>
      <c r="T4" s="1">
        <f>T8*T2</f>
        <v>0.94680000000000009</v>
      </c>
      <c r="U4" s="1">
        <f>6.6*0.95</f>
        <v>6.27</v>
      </c>
      <c r="Y4" s="1">
        <f>Y8*Y2</f>
        <v>0.94680000000000009</v>
      </c>
      <c r="Z4" s="1">
        <f>15000*0.95</f>
        <v>14250</v>
      </c>
      <c r="AC4" s="1">
        <f>(Y9+6*1.117)*0.95</f>
        <v>18.365400000000001</v>
      </c>
      <c r="AD4" s="1">
        <f>AD8*AD2</f>
        <v>0</v>
      </c>
      <c r="AE4" s="1">
        <f>AD9*0.95</f>
        <v>19.759999999999998</v>
      </c>
      <c r="AI4" s="1">
        <f>AI8*AI2</f>
        <v>0</v>
      </c>
      <c r="AJ4" s="1">
        <f>AI9*0.95</f>
        <v>23.999850000000002</v>
      </c>
      <c r="AM4" s="1">
        <f>37.9*0.95</f>
        <v>36.004999999999995</v>
      </c>
    </row>
    <row r="5" spans="2:40" hidden="1" x14ac:dyDescent="0.3">
      <c r="K5" s="1">
        <f>7.4*0.9</f>
        <v>6.66</v>
      </c>
      <c r="AM5" s="1">
        <v>36.005000000000003</v>
      </c>
    </row>
    <row r="6" spans="2:40" x14ac:dyDescent="0.3">
      <c r="B6" s="1" t="s">
        <v>3</v>
      </c>
      <c r="C6" s="2">
        <v>23.917000000000002</v>
      </c>
      <c r="D6" s="2">
        <v>21.05</v>
      </c>
      <c r="E6" s="2">
        <v>18.170000000000002</v>
      </c>
      <c r="F6" s="2">
        <v>18.170000000000002</v>
      </c>
      <c r="G6" s="2">
        <v>18.170000000000002</v>
      </c>
      <c r="H6" s="2">
        <v>16.692</v>
      </c>
      <c r="I6" s="2">
        <v>15.99</v>
      </c>
      <c r="J6" s="2">
        <v>15.99</v>
      </c>
      <c r="K6" s="2">
        <v>15.442</v>
      </c>
      <c r="L6" s="2">
        <v>14.896000000000001</v>
      </c>
      <c r="M6" s="2">
        <v>14.347999999999999</v>
      </c>
      <c r="N6" s="2">
        <v>13.8</v>
      </c>
      <c r="O6" s="2">
        <v>11.4</v>
      </c>
      <c r="P6" s="2">
        <v>8.1519999999999992</v>
      </c>
      <c r="Q6" s="2">
        <v>6.7520000000000007</v>
      </c>
      <c r="R6" s="2">
        <v>6.3089999999999993</v>
      </c>
      <c r="S6" s="2">
        <v>6.3089999999999993</v>
      </c>
      <c r="T6" s="2">
        <v>4.9090000000000007</v>
      </c>
      <c r="U6" s="2">
        <v>4.9090000000000007</v>
      </c>
      <c r="V6" s="2">
        <v>4.1590000000000007</v>
      </c>
      <c r="W6" s="2">
        <v>4.1590000000000007</v>
      </c>
      <c r="X6" s="2">
        <v>4.1590000000000007</v>
      </c>
      <c r="Y6" s="3">
        <v>4.1589999999999998</v>
      </c>
      <c r="Z6" s="3">
        <v>3.5375999999999999</v>
      </c>
      <c r="AA6" s="3">
        <v>2.9161999999999999</v>
      </c>
      <c r="AB6" s="3">
        <v>2.2948</v>
      </c>
      <c r="AC6" s="3">
        <v>1.6734</v>
      </c>
      <c r="AD6" s="3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</row>
    <row r="7" spans="2:40" x14ac:dyDescent="0.3">
      <c r="B7" s="1" t="s">
        <v>1</v>
      </c>
      <c r="C7" s="4">
        <v>18.823</v>
      </c>
      <c r="D7" s="1">
        <v>16.32</v>
      </c>
      <c r="E7" s="1">
        <v>13.44</v>
      </c>
      <c r="F7" s="1">
        <v>13.44</v>
      </c>
      <c r="G7" s="1">
        <v>13.44</v>
      </c>
      <c r="H7" s="1">
        <v>13.44</v>
      </c>
      <c r="I7" s="1">
        <v>12.74</v>
      </c>
      <c r="J7" s="5">
        <v>12.74</v>
      </c>
      <c r="K7" s="8">
        <v>12.192</v>
      </c>
      <c r="L7" s="8">
        <v>11.644</v>
      </c>
      <c r="M7" s="8">
        <v>11.096</v>
      </c>
      <c r="N7" s="8">
        <v>10.548</v>
      </c>
      <c r="O7" s="5">
        <v>10</v>
      </c>
      <c r="P7" s="1">
        <v>7.1</v>
      </c>
      <c r="Q7" s="1">
        <v>5.7</v>
      </c>
      <c r="R7" s="1">
        <v>5.2569999999999997</v>
      </c>
      <c r="S7" s="1">
        <v>5.2569999999999997</v>
      </c>
      <c r="T7" s="5">
        <v>3.8570000000000002</v>
      </c>
      <c r="U7" s="1">
        <v>3.8570000000000002</v>
      </c>
      <c r="V7" s="1">
        <v>3.1070000000000002</v>
      </c>
      <c r="W7" s="1">
        <v>3.1070000000000002</v>
      </c>
      <c r="X7" s="1">
        <v>3.1070000000000002</v>
      </c>
      <c r="Y7" s="5">
        <v>3.1069999999999998</v>
      </c>
      <c r="Z7" s="1">
        <v>2.6959999999999997</v>
      </c>
      <c r="AA7" s="1">
        <v>2.2850000000000001</v>
      </c>
      <c r="AB7" s="1">
        <v>1.8740000000000001</v>
      </c>
      <c r="AC7" s="1">
        <v>1.4630000000000001</v>
      </c>
      <c r="AD7" s="5">
        <v>0</v>
      </c>
      <c r="AE7" s="1">
        <v>0</v>
      </c>
      <c r="AF7" s="1">
        <v>0</v>
      </c>
      <c r="AG7" s="1">
        <v>0</v>
      </c>
      <c r="AH7" s="1">
        <v>0</v>
      </c>
      <c r="AI7" s="5">
        <v>0</v>
      </c>
      <c r="AJ7" s="1">
        <v>0</v>
      </c>
      <c r="AK7" s="1">
        <v>0</v>
      </c>
      <c r="AL7" s="1">
        <v>0</v>
      </c>
      <c r="AM7" s="1">
        <v>0</v>
      </c>
      <c r="AN7" s="5">
        <v>0</v>
      </c>
    </row>
    <row r="8" spans="2:40" x14ac:dyDescent="0.3">
      <c r="B8" s="1" t="s">
        <v>2</v>
      </c>
      <c r="C8" s="4">
        <v>5.0940000000000003</v>
      </c>
      <c r="D8" s="1">
        <v>4.7300000000000004</v>
      </c>
      <c r="E8" s="1">
        <v>4.7300000000000004</v>
      </c>
      <c r="F8" s="1">
        <v>4.7300000000000004</v>
      </c>
      <c r="G8" s="1">
        <v>4.7300000000000004</v>
      </c>
      <c r="H8" s="1">
        <v>3.2519999999999998</v>
      </c>
      <c r="I8" s="1">
        <v>3.25</v>
      </c>
      <c r="J8" s="5">
        <v>3.25</v>
      </c>
      <c r="K8" s="1">
        <v>3.25</v>
      </c>
      <c r="L8" s="1">
        <v>3.2519999999999998</v>
      </c>
      <c r="M8" s="1">
        <v>3.2519999999999998</v>
      </c>
      <c r="N8" s="1">
        <v>3.2519999999999998</v>
      </c>
      <c r="O8" s="5">
        <v>1.4</v>
      </c>
      <c r="P8" s="1">
        <v>1.052</v>
      </c>
      <c r="Q8" s="1">
        <v>1.052</v>
      </c>
      <c r="R8" s="1">
        <v>1.052</v>
      </c>
      <c r="S8" s="1">
        <v>1.052</v>
      </c>
      <c r="T8" s="5">
        <v>1.052</v>
      </c>
      <c r="U8" s="1">
        <v>1.052</v>
      </c>
      <c r="V8" s="1">
        <v>1.052</v>
      </c>
      <c r="W8" s="1">
        <v>1.052</v>
      </c>
      <c r="X8" s="1">
        <v>1.052</v>
      </c>
      <c r="Y8" s="5">
        <v>1.052</v>
      </c>
      <c r="Z8" s="6">
        <v>0.84160000000000001</v>
      </c>
      <c r="AA8" s="6">
        <v>0.63119999999999998</v>
      </c>
      <c r="AB8" s="6">
        <v>0.42079999999999995</v>
      </c>
      <c r="AC8" s="6">
        <v>0.21039999999999995</v>
      </c>
      <c r="AD8" s="5">
        <v>0</v>
      </c>
      <c r="AI8" s="5"/>
      <c r="AN8" s="5"/>
    </row>
    <row r="9" spans="2:40" x14ac:dyDescent="0.3">
      <c r="B9" s="1" t="s">
        <v>4</v>
      </c>
      <c r="C9" s="4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7">
        <v>0</v>
      </c>
      <c r="K9" s="8">
        <v>0</v>
      </c>
      <c r="L9" s="8">
        <v>0</v>
      </c>
      <c r="M9" s="8">
        <v>0</v>
      </c>
      <c r="N9" s="8">
        <v>0.3</v>
      </c>
      <c r="O9" s="7">
        <v>0.63</v>
      </c>
      <c r="P9" s="9">
        <v>1.8639999999999999</v>
      </c>
      <c r="Q9" s="9">
        <v>3.0979999999999999</v>
      </c>
      <c r="R9" s="9">
        <v>4.3319999999999999</v>
      </c>
      <c r="S9" s="9">
        <v>5.5659999999999998</v>
      </c>
      <c r="T9" s="7">
        <v>6.8</v>
      </c>
      <c r="U9" s="9">
        <v>7.9660000000000002</v>
      </c>
      <c r="V9" s="9">
        <v>9.1319999999999997</v>
      </c>
      <c r="W9" s="9">
        <v>10.298</v>
      </c>
      <c r="X9" s="9">
        <v>11.464</v>
      </c>
      <c r="Y9" s="7">
        <v>12.63</v>
      </c>
      <c r="Z9" s="9">
        <v>14.264000000000001</v>
      </c>
      <c r="AA9" s="9">
        <v>15.898000000000001</v>
      </c>
      <c r="AB9" s="9">
        <v>17.532</v>
      </c>
      <c r="AC9" s="9">
        <v>19.166</v>
      </c>
      <c r="AD9" s="7">
        <v>20.8</v>
      </c>
      <c r="AE9" s="9">
        <v>21.692600000000002</v>
      </c>
      <c r="AF9" s="9">
        <v>22.585200000000004</v>
      </c>
      <c r="AG9" s="9">
        <v>23.477800000000006</v>
      </c>
      <c r="AH9" s="9">
        <v>24.370400000000007</v>
      </c>
      <c r="AI9" s="7">
        <v>25.263000000000002</v>
      </c>
      <c r="AJ9" s="9">
        <v>26.2104</v>
      </c>
      <c r="AK9" s="9">
        <v>27.157799999999998</v>
      </c>
      <c r="AL9" s="9">
        <v>28.105199999999996</v>
      </c>
      <c r="AM9" s="9">
        <v>29.052599999999995</v>
      </c>
      <c r="AN9" s="7">
        <v>30</v>
      </c>
    </row>
    <row r="10" spans="2:40" x14ac:dyDescent="0.3">
      <c r="B10" s="1" t="s">
        <v>5</v>
      </c>
      <c r="C10" s="10">
        <v>7.577</v>
      </c>
      <c r="D10" s="9">
        <v>7.5517142857142856</v>
      </c>
      <c r="E10" s="9">
        <v>7.5264285714285712</v>
      </c>
      <c r="F10" s="9">
        <v>7.5011428571428569</v>
      </c>
      <c r="G10" s="9">
        <v>7.4758571428571425</v>
      </c>
      <c r="H10" s="9">
        <v>7.4505714285714282</v>
      </c>
      <c r="I10" s="9">
        <v>7.4252857142857138</v>
      </c>
      <c r="J10" s="11">
        <v>7.4</v>
      </c>
      <c r="K10" s="8">
        <v>6.86</v>
      </c>
      <c r="L10" s="8">
        <v>6.32</v>
      </c>
      <c r="M10" s="8">
        <v>5.78</v>
      </c>
      <c r="N10" s="8">
        <v>5.24</v>
      </c>
      <c r="O10" s="11">
        <v>4.7</v>
      </c>
      <c r="P10" s="9">
        <v>4.74</v>
      </c>
      <c r="Q10" s="9">
        <v>4.78</v>
      </c>
      <c r="R10" s="9">
        <v>4.82</v>
      </c>
      <c r="S10" s="9">
        <v>4.8600000000000003</v>
      </c>
      <c r="T10" s="11">
        <v>4.9000000000000004</v>
      </c>
      <c r="U10" s="9">
        <v>4.6978</v>
      </c>
      <c r="V10" s="9">
        <v>4.4955999999999996</v>
      </c>
      <c r="W10" s="9">
        <v>4.2933999999999992</v>
      </c>
      <c r="X10" s="9">
        <v>4.0911999999999988</v>
      </c>
      <c r="Y10" s="12">
        <v>3.8889999999999998</v>
      </c>
      <c r="Z10" s="9">
        <v>3.6711999999999998</v>
      </c>
      <c r="AA10" s="9">
        <v>3.4533999999999998</v>
      </c>
      <c r="AB10" s="9">
        <v>3.2355999999999998</v>
      </c>
      <c r="AC10" s="9">
        <v>3.0177999999999998</v>
      </c>
      <c r="AD10" s="11">
        <v>2.8</v>
      </c>
      <c r="AE10" s="1">
        <v>2.2399999999999998</v>
      </c>
      <c r="AF10" s="1">
        <v>1.6799999999999997</v>
      </c>
      <c r="AG10" s="1">
        <v>1.1199999999999997</v>
      </c>
      <c r="AH10" s="1">
        <v>0.55999999999999972</v>
      </c>
      <c r="AI10" s="5">
        <v>0</v>
      </c>
      <c r="AJ10" s="9">
        <v>0</v>
      </c>
      <c r="AK10" s="9">
        <v>0</v>
      </c>
      <c r="AL10" s="9">
        <v>0</v>
      </c>
      <c r="AM10" s="9">
        <v>0</v>
      </c>
      <c r="AN10" s="5">
        <v>0</v>
      </c>
    </row>
    <row r="11" spans="2:40" x14ac:dyDescent="0.3">
      <c r="B11" s="1" t="s">
        <v>6</v>
      </c>
      <c r="C11" s="4"/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5">
        <v>0</v>
      </c>
      <c r="K11" s="8">
        <v>0</v>
      </c>
      <c r="L11" s="8">
        <v>0</v>
      </c>
      <c r="M11" s="8">
        <v>0</v>
      </c>
      <c r="N11" s="8">
        <v>0</v>
      </c>
      <c r="O11" s="11">
        <v>0</v>
      </c>
      <c r="P11" s="9">
        <v>0</v>
      </c>
      <c r="Q11" s="9">
        <v>0</v>
      </c>
      <c r="R11" s="9">
        <v>0</v>
      </c>
      <c r="S11" s="9">
        <v>0</v>
      </c>
      <c r="T11" s="11">
        <v>0</v>
      </c>
      <c r="U11" s="9">
        <v>0</v>
      </c>
      <c r="V11" s="9">
        <v>0</v>
      </c>
      <c r="W11" s="9">
        <v>0</v>
      </c>
      <c r="X11" s="9">
        <v>0</v>
      </c>
      <c r="Y11" s="11">
        <v>0</v>
      </c>
      <c r="Z11" s="9">
        <v>0</v>
      </c>
      <c r="AA11" s="9">
        <v>0</v>
      </c>
      <c r="AB11" s="9">
        <v>0</v>
      </c>
      <c r="AC11" s="9">
        <v>0</v>
      </c>
      <c r="AD11" s="11">
        <v>0</v>
      </c>
      <c r="AE11" s="9">
        <v>0</v>
      </c>
      <c r="AF11" s="9">
        <v>0</v>
      </c>
      <c r="AG11" s="9">
        <v>0</v>
      </c>
      <c r="AH11" s="9">
        <v>0</v>
      </c>
      <c r="AI11" s="5">
        <v>0</v>
      </c>
      <c r="AJ11" s="9">
        <v>0</v>
      </c>
      <c r="AK11" s="9">
        <v>0</v>
      </c>
      <c r="AL11" s="9">
        <v>0</v>
      </c>
      <c r="AM11" s="9">
        <v>0</v>
      </c>
      <c r="AN11" s="5">
        <v>0</v>
      </c>
    </row>
    <row r="12" spans="2:40" x14ac:dyDescent="0.3">
      <c r="B12" s="1" t="s">
        <v>7</v>
      </c>
      <c r="C12" s="4">
        <v>4.3499999999999996</v>
      </c>
      <c r="D12" s="9">
        <v>4.3107142857142851</v>
      </c>
      <c r="E12" s="9">
        <v>4.2714285714285705</v>
      </c>
      <c r="F12" s="9">
        <v>4.2321428571428559</v>
      </c>
      <c r="G12" s="9">
        <v>4.1928571428571413</v>
      </c>
      <c r="H12" s="9">
        <v>4.1535714285714267</v>
      </c>
      <c r="I12" s="9">
        <v>4.1142857142857121</v>
      </c>
      <c r="J12" s="11">
        <v>4.0750000000000002</v>
      </c>
      <c r="K12" s="8">
        <v>3.8200000000000003</v>
      </c>
      <c r="L12" s="8">
        <v>3.5650000000000004</v>
      </c>
      <c r="M12" s="8">
        <v>3.3100000000000005</v>
      </c>
      <c r="N12" s="8">
        <v>3.0550000000000006</v>
      </c>
      <c r="O12" s="12">
        <v>2.8</v>
      </c>
      <c r="P12" s="9">
        <v>3.12</v>
      </c>
      <c r="Q12" s="9">
        <v>3.4400000000000004</v>
      </c>
      <c r="R12" s="9">
        <v>3.7600000000000007</v>
      </c>
      <c r="S12" s="9">
        <v>4.080000000000001</v>
      </c>
      <c r="T12" s="11">
        <v>4.4000000000000004</v>
      </c>
      <c r="U12" s="9">
        <v>4.2534000000000001</v>
      </c>
      <c r="V12" s="9">
        <v>4.1067999999999998</v>
      </c>
      <c r="W12" s="9">
        <v>3.9601999999999995</v>
      </c>
      <c r="X12" s="9">
        <v>3.8135999999999992</v>
      </c>
      <c r="Y12" s="11">
        <v>3.6669999999999998</v>
      </c>
      <c r="Z12" s="9">
        <v>2.9335999999999998</v>
      </c>
      <c r="AA12" s="9">
        <v>2.2001999999999997</v>
      </c>
      <c r="AB12" s="9">
        <v>1.4667999999999997</v>
      </c>
      <c r="AC12" s="9">
        <v>0.73339999999999972</v>
      </c>
      <c r="AD12" s="11">
        <v>0</v>
      </c>
      <c r="AE12" s="13">
        <v>0</v>
      </c>
      <c r="AF12" s="13">
        <v>0</v>
      </c>
      <c r="AG12" s="13">
        <v>0</v>
      </c>
      <c r="AH12" s="13">
        <v>0</v>
      </c>
      <c r="AI12" s="5">
        <v>0</v>
      </c>
      <c r="AJ12" s="9">
        <v>0</v>
      </c>
      <c r="AK12" s="9">
        <v>0</v>
      </c>
      <c r="AL12" s="9">
        <v>0</v>
      </c>
      <c r="AM12" s="9">
        <v>0</v>
      </c>
      <c r="AN12" s="5">
        <v>0</v>
      </c>
    </row>
    <row r="13" spans="2:40" x14ac:dyDescent="0.3">
      <c r="B13" s="1" t="s">
        <v>8</v>
      </c>
      <c r="C13" s="10">
        <v>19.190000000000001</v>
      </c>
      <c r="D13" s="9">
        <v>20.02</v>
      </c>
      <c r="E13" s="9">
        <v>20.849999999999998</v>
      </c>
      <c r="F13" s="9">
        <v>21.679999999999996</v>
      </c>
      <c r="G13" s="9">
        <v>22.509999999999994</v>
      </c>
      <c r="H13" s="9">
        <v>23.339999999999993</v>
      </c>
      <c r="I13" s="9">
        <v>24.169999999999991</v>
      </c>
      <c r="J13" s="11">
        <v>25</v>
      </c>
      <c r="K13" s="8">
        <v>25</v>
      </c>
      <c r="L13" s="8">
        <v>25</v>
      </c>
      <c r="M13" s="8">
        <v>25</v>
      </c>
      <c r="N13" s="8">
        <v>25</v>
      </c>
      <c r="O13" s="11">
        <v>25</v>
      </c>
      <c r="P13" s="9">
        <v>25</v>
      </c>
      <c r="Q13" s="9">
        <v>25</v>
      </c>
      <c r="R13" s="9">
        <v>25</v>
      </c>
      <c r="S13" s="9">
        <v>25</v>
      </c>
      <c r="T13" s="11">
        <v>25</v>
      </c>
      <c r="U13" s="9">
        <v>25</v>
      </c>
      <c r="V13" s="9">
        <v>25</v>
      </c>
      <c r="W13" s="9">
        <v>25</v>
      </c>
      <c r="X13" s="9">
        <v>25</v>
      </c>
      <c r="Y13" s="11">
        <v>25</v>
      </c>
      <c r="Z13" s="9">
        <v>25.26</v>
      </c>
      <c r="AA13" s="9">
        <v>25.520000000000003</v>
      </c>
      <c r="AB13" s="9">
        <v>25.780000000000005</v>
      </c>
      <c r="AC13" s="9">
        <v>26.040000000000006</v>
      </c>
      <c r="AD13" s="11">
        <v>26.3</v>
      </c>
      <c r="AE13" s="13">
        <v>26.301600000000001</v>
      </c>
      <c r="AF13" s="13">
        <v>26.3032</v>
      </c>
      <c r="AG13" s="13">
        <v>26.3048</v>
      </c>
      <c r="AH13" s="13">
        <v>26.3064</v>
      </c>
      <c r="AI13" s="11">
        <v>26.308</v>
      </c>
      <c r="AJ13" s="9">
        <v>26.308</v>
      </c>
      <c r="AK13" s="9">
        <v>26.308</v>
      </c>
      <c r="AL13" s="9">
        <v>26.308</v>
      </c>
      <c r="AM13" s="9">
        <v>26.308</v>
      </c>
      <c r="AN13" s="11">
        <v>26.308</v>
      </c>
    </row>
    <row r="14" spans="2:40" x14ac:dyDescent="0.3">
      <c r="B14" s="1" t="s">
        <v>9</v>
      </c>
      <c r="C14" s="4">
        <v>7.92</v>
      </c>
      <c r="D14" s="9">
        <v>8.0457142857142863</v>
      </c>
      <c r="E14" s="9">
        <v>8.1714285714285726</v>
      </c>
      <c r="F14" s="9">
        <v>8.2971428571428589</v>
      </c>
      <c r="G14" s="9">
        <v>8.4228571428571453</v>
      </c>
      <c r="H14" s="9">
        <v>8.5485714285714316</v>
      </c>
      <c r="I14" s="9">
        <v>8.6742857142857179</v>
      </c>
      <c r="J14" s="11">
        <v>8.8000000000000007</v>
      </c>
      <c r="K14" s="8">
        <v>8.8000000000000007</v>
      </c>
      <c r="L14" s="8">
        <v>8.8000000000000007</v>
      </c>
      <c r="M14" s="8">
        <v>8.8000000000000007</v>
      </c>
      <c r="N14" s="8">
        <v>8.8000000000000007</v>
      </c>
      <c r="O14" s="11">
        <v>8.8000000000000007</v>
      </c>
      <c r="P14" s="9">
        <v>8.8000000000000007</v>
      </c>
      <c r="Q14" s="9">
        <v>8.8000000000000007</v>
      </c>
      <c r="R14" s="9">
        <v>8.8000000000000007</v>
      </c>
      <c r="S14" s="9">
        <v>8.8000000000000007</v>
      </c>
      <c r="T14" s="11">
        <v>8.8000000000000007</v>
      </c>
      <c r="U14" s="9">
        <v>8.8000000000000007</v>
      </c>
      <c r="V14" s="9">
        <v>8.8000000000000007</v>
      </c>
      <c r="W14" s="9">
        <v>8.8000000000000007</v>
      </c>
      <c r="X14" s="9">
        <v>8.8000000000000007</v>
      </c>
      <c r="Y14" s="11">
        <v>8.8000000000000007</v>
      </c>
      <c r="Z14" s="9">
        <v>8.8000000000000007</v>
      </c>
      <c r="AA14" s="9">
        <v>8.8000000000000007</v>
      </c>
      <c r="AB14" s="9">
        <v>8.8000000000000007</v>
      </c>
      <c r="AC14" s="9">
        <v>8.8000000000000007</v>
      </c>
      <c r="AD14" s="11">
        <v>8.8000000000000007</v>
      </c>
      <c r="AE14" s="13">
        <v>8.8000000000000007</v>
      </c>
      <c r="AF14" s="13">
        <v>8.8000000000000007</v>
      </c>
      <c r="AG14" s="13">
        <v>8.8000000000000007</v>
      </c>
      <c r="AH14" s="13">
        <v>8.8000000000000007</v>
      </c>
      <c r="AI14" s="11">
        <v>8.8000000000000007</v>
      </c>
      <c r="AJ14" s="9">
        <v>8.8000000000000007</v>
      </c>
      <c r="AK14" s="9">
        <v>8.8000000000000007</v>
      </c>
      <c r="AL14" s="9">
        <v>8.8000000000000007</v>
      </c>
      <c r="AM14" s="9">
        <v>8.8000000000000007</v>
      </c>
      <c r="AN14" s="5">
        <v>8.8000000000000007</v>
      </c>
    </row>
    <row r="15" spans="2:40" x14ac:dyDescent="0.3">
      <c r="B15" s="1" t="s">
        <v>10</v>
      </c>
      <c r="C15" s="4">
        <v>10.5</v>
      </c>
      <c r="D15" s="9">
        <v>10.642857142857142</v>
      </c>
      <c r="E15" s="9">
        <v>10.785714285714285</v>
      </c>
      <c r="F15" s="9">
        <v>10.928571428571427</v>
      </c>
      <c r="G15" s="9">
        <v>11.071428571428569</v>
      </c>
      <c r="H15" s="9">
        <v>11.214285714285712</v>
      </c>
      <c r="I15" s="9">
        <v>11.357142857142854</v>
      </c>
      <c r="J15" s="11">
        <v>11.5</v>
      </c>
      <c r="K15" s="8">
        <v>12</v>
      </c>
      <c r="L15" s="8">
        <v>12.5</v>
      </c>
      <c r="M15" s="8">
        <v>13</v>
      </c>
      <c r="N15" s="8">
        <v>13.5</v>
      </c>
      <c r="O15" s="11">
        <v>14</v>
      </c>
      <c r="P15" s="9">
        <v>14</v>
      </c>
      <c r="Q15" s="9">
        <v>14</v>
      </c>
      <c r="R15" s="9">
        <v>14</v>
      </c>
      <c r="S15" s="9">
        <v>14</v>
      </c>
      <c r="T15" s="11">
        <v>14</v>
      </c>
      <c r="U15" s="9">
        <v>14</v>
      </c>
      <c r="V15" s="9">
        <v>14</v>
      </c>
      <c r="W15" s="9">
        <v>14</v>
      </c>
      <c r="X15" s="9">
        <v>14</v>
      </c>
      <c r="Y15" s="11">
        <v>14</v>
      </c>
      <c r="Z15" s="9">
        <v>14.879999999999999</v>
      </c>
      <c r="AA15" s="9">
        <v>15.759999999999998</v>
      </c>
      <c r="AB15" s="9">
        <v>16.639999999999997</v>
      </c>
      <c r="AC15" s="9">
        <v>17.519999999999996</v>
      </c>
      <c r="AD15" s="11">
        <v>18.399999999999999</v>
      </c>
      <c r="AE15" s="13">
        <v>18.399999999999999</v>
      </c>
      <c r="AF15" s="13">
        <v>18.399999999999999</v>
      </c>
      <c r="AG15" s="13">
        <v>18.399999999999999</v>
      </c>
      <c r="AH15" s="13">
        <v>18.399999999999999</v>
      </c>
      <c r="AI15" s="11">
        <v>18.399999999999999</v>
      </c>
      <c r="AJ15" s="9">
        <v>18.399999999999999</v>
      </c>
      <c r="AK15" s="9">
        <v>18.399999999999999</v>
      </c>
      <c r="AL15" s="9">
        <v>18.399999999999999</v>
      </c>
      <c r="AM15" s="9">
        <v>18.399999999999999</v>
      </c>
      <c r="AN15" s="5">
        <v>18.399999999999999</v>
      </c>
    </row>
    <row r="16" spans="2:40" x14ac:dyDescent="0.3">
      <c r="B16" s="1" t="s">
        <v>11</v>
      </c>
      <c r="C16" s="4">
        <v>7.05</v>
      </c>
      <c r="D16" s="9">
        <v>7.05</v>
      </c>
      <c r="E16" s="9">
        <v>7.05</v>
      </c>
      <c r="F16" s="9">
        <v>7.05</v>
      </c>
      <c r="G16" s="9">
        <v>7.05</v>
      </c>
      <c r="H16" s="9">
        <v>7.05</v>
      </c>
      <c r="I16" s="9">
        <v>7.05</v>
      </c>
      <c r="J16" s="5">
        <v>7.05</v>
      </c>
      <c r="K16" s="8">
        <v>7.05</v>
      </c>
      <c r="L16" s="8">
        <v>7.05</v>
      </c>
      <c r="M16" s="8">
        <v>7.05</v>
      </c>
      <c r="N16" s="8">
        <v>7.05</v>
      </c>
      <c r="O16" s="5">
        <v>7.05</v>
      </c>
      <c r="P16" s="9">
        <v>7.05</v>
      </c>
      <c r="Q16" s="9">
        <v>7.05</v>
      </c>
      <c r="R16" s="9">
        <v>7.05</v>
      </c>
      <c r="S16" s="9">
        <v>7.05</v>
      </c>
      <c r="T16" s="5">
        <v>7.05</v>
      </c>
      <c r="U16" s="9">
        <v>7.05</v>
      </c>
      <c r="V16" s="9">
        <v>7.05</v>
      </c>
      <c r="W16" s="9">
        <v>7.05</v>
      </c>
      <c r="X16" s="9">
        <v>7.05</v>
      </c>
      <c r="Y16" s="5">
        <v>7.05</v>
      </c>
      <c r="Z16" s="9">
        <v>7.05</v>
      </c>
      <c r="AA16" s="9">
        <v>7.05</v>
      </c>
      <c r="AB16" s="9">
        <v>7.05</v>
      </c>
      <c r="AC16" s="9">
        <v>7.05</v>
      </c>
      <c r="AD16" s="5">
        <v>7.05</v>
      </c>
      <c r="AE16" s="13">
        <v>7.05</v>
      </c>
      <c r="AF16" s="13">
        <v>7.05</v>
      </c>
      <c r="AG16" s="13">
        <v>7.05</v>
      </c>
      <c r="AH16" s="13">
        <v>7.05</v>
      </c>
      <c r="AI16" s="5">
        <v>7.05</v>
      </c>
      <c r="AJ16" s="9">
        <v>7.05</v>
      </c>
      <c r="AK16" s="9">
        <v>7.05</v>
      </c>
      <c r="AL16" s="9">
        <v>7.05</v>
      </c>
      <c r="AM16" s="9">
        <v>7.05</v>
      </c>
      <c r="AN16" s="5">
        <v>7.05</v>
      </c>
    </row>
    <row r="17" spans="1:51" x14ac:dyDescent="0.3">
      <c r="B17" s="1" t="s">
        <v>37</v>
      </c>
      <c r="C17" s="4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5">
        <v>0</v>
      </c>
      <c r="K17" s="8">
        <v>0.74199999999999999</v>
      </c>
      <c r="L17" s="8">
        <v>1.484</v>
      </c>
      <c r="M17" s="8">
        <v>2.226</v>
      </c>
      <c r="N17" s="8">
        <v>2.968</v>
      </c>
      <c r="O17" s="5">
        <v>3.71</v>
      </c>
      <c r="P17" s="9">
        <v>3.71</v>
      </c>
      <c r="Q17" s="9">
        <v>3.71</v>
      </c>
      <c r="R17" s="9">
        <v>3.71</v>
      </c>
      <c r="S17" s="9">
        <v>3.71</v>
      </c>
      <c r="T17" s="5">
        <v>3.71</v>
      </c>
      <c r="U17" s="9">
        <v>3.71</v>
      </c>
      <c r="V17" s="9">
        <v>3.71</v>
      </c>
      <c r="W17" s="9">
        <v>3.71</v>
      </c>
      <c r="X17" s="9">
        <v>3.71</v>
      </c>
      <c r="Y17" s="5">
        <v>3.71</v>
      </c>
      <c r="Z17" s="9">
        <v>3.5880000000000001</v>
      </c>
      <c r="AA17" s="9">
        <v>3.4660000000000002</v>
      </c>
      <c r="AB17" s="9">
        <v>3.3440000000000003</v>
      </c>
      <c r="AC17" s="9">
        <v>3.2220000000000004</v>
      </c>
      <c r="AD17" s="5">
        <v>3.1</v>
      </c>
      <c r="AE17" s="13">
        <v>3.1</v>
      </c>
      <c r="AF17" s="13">
        <v>3.1</v>
      </c>
      <c r="AG17" s="13">
        <v>3.1</v>
      </c>
      <c r="AH17" s="13">
        <v>3.1</v>
      </c>
      <c r="AI17" s="5">
        <v>3.1</v>
      </c>
      <c r="AJ17" s="9">
        <v>3.1</v>
      </c>
      <c r="AK17" s="9">
        <v>3.1</v>
      </c>
      <c r="AL17" s="9">
        <v>3.1</v>
      </c>
      <c r="AM17" s="9">
        <v>3.1</v>
      </c>
      <c r="AN17" s="5">
        <v>3.1</v>
      </c>
    </row>
    <row r="18" spans="1:51" x14ac:dyDescent="0.3">
      <c r="B18" s="1" t="s">
        <v>12</v>
      </c>
      <c r="C18" s="4">
        <v>2.1</v>
      </c>
      <c r="D18" s="9">
        <v>2.2285714285714286</v>
      </c>
      <c r="E18" s="9">
        <v>2.3571428571428572</v>
      </c>
      <c r="F18" s="9">
        <v>2.4857142857142858</v>
      </c>
      <c r="G18" s="9">
        <v>2.6142857142857143</v>
      </c>
      <c r="H18" s="9">
        <v>2.7428571428571429</v>
      </c>
      <c r="I18" s="9">
        <v>2.8714285714285714</v>
      </c>
      <c r="J18" s="11">
        <v>3</v>
      </c>
      <c r="K18" s="8">
        <v>3</v>
      </c>
      <c r="L18" s="8">
        <v>3</v>
      </c>
      <c r="M18" s="8">
        <v>3</v>
      </c>
      <c r="N18" s="8">
        <v>3</v>
      </c>
      <c r="O18" s="11">
        <v>3</v>
      </c>
      <c r="P18" s="9">
        <v>3</v>
      </c>
      <c r="Q18" s="9">
        <v>3</v>
      </c>
      <c r="R18" s="9">
        <v>3</v>
      </c>
      <c r="S18" s="9">
        <v>3</v>
      </c>
      <c r="T18" s="11">
        <v>3</v>
      </c>
      <c r="U18" s="9">
        <v>3</v>
      </c>
      <c r="V18" s="9">
        <v>3</v>
      </c>
      <c r="W18" s="9">
        <v>3</v>
      </c>
      <c r="X18" s="9">
        <v>3</v>
      </c>
      <c r="Y18" s="11">
        <v>3</v>
      </c>
      <c r="Z18" s="9">
        <v>3.2</v>
      </c>
      <c r="AA18" s="9">
        <v>3.4000000000000004</v>
      </c>
      <c r="AB18" s="9">
        <v>3.6000000000000005</v>
      </c>
      <c r="AC18" s="9">
        <v>3.8000000000000007</v>
      </c>
      <c r="AD18" s="5">
        <v>4</v>
      </c>
      <c r="AE18" s="13">
        <v>4</v>
      </c>
      <c r="AF18" s="13">
        <v>4</v>
      </c>
      <c r="AG18" s="13">
        <v>4</v>
      </c>
      <c r="AH18" s="13">
        <v>4</v>
      </c>
      <c r="AI18" s="5">
        <v>4</v>
      </c>
      <c r="AJ18" s="9">
        <v>4</v>
      </c>
      <c r="AK18" s="9">
        <v>4</v>
      </c>
      <c r="AL18" s="9">
        <v>4</v>
      </c>
      <c r="AM18" s="9">
        <v>4</v>
      </c>
      <c r="AN18" s="5">
        <v>4</v>
      </c>
    </row>
    <row r="19" spans="1:51" x14ac:dyDescent="0.3">
      <c r="B19" s="1" t="s">
        <v>13</v>
      </c>
      <c r="C19" s="4">
        <v>0.2</v>
      </c>
      <c r="D19" s="9">
        <v>0.45714285714285718</v>
      </c>
      <c r="E19" s="9">
        <v>0.71428571428571441</v>
      </c>
      <c r="F19" s="9">
        <v>0.97142857142857153</v>
      </c>
      <c r="G19" s="9">
        <v>1.2285714285714286</v>
      </c>
      <c r="H19" s="9">
        <v>1.4857142857142858</v>
      </c>
      <c r="I19" s="9">
        <v>1.7428571428571429</v>
      </c>
      <c r="J19" s="11">
        <v>2</v>
      </c>
      <c r="K19" s="8">
        <v>2.2000000000000002</v>
      </c>
      <c r="L19" s="8">
        <v>2.4000000000000004</v>
      </c>
      <c r="M19" s="8">
        <v>2.6000000000000005</v>
      </c>
      <c r="N19" s="8">
        <v>2.8000000000000007</v>
      </c>
      <c r="O19" s="11">
        <v>3</v>
      </c>
      <c r="P19" s="9">
        <v>3</v>
      </c>
      <c r="Q19" s="9">
        <v>3</v>
      </c>
      <c r="R19" s="9">
        <v>3</v>
      </c>
      <c r="S19" s="9">
        <v>3</v>
      </c>
      <c r="T19" s="11">
        <v>3</v>
      </c>
      <c r="U19" s="9">
        <v>3</v>
      </c>
      <c r="V19" s="9">
        <v>3</v>
      </c>
      <c r="W19" s="9">
        <v>3</v>
      </c>
      <c r="X19" s="9">
        <v>3</v>
      </c>
      <c r="Y19" s="11">
        <v>3</v>
      </c>
      <c r="Z19" s="9">
        <v>2.8</v>
      </c>
      <c r="AA19" s="9">
        <v>2.5999999999999996</v>
      </c>
      <c r="AB19" s="9">
        <v>2.3999999999999995</v>
      </c>
      <c r="AC19" s="9">
        <v>2.1999999999999993</v>
      </c>
      <c r="AD19" s="5">
        <v>2</v>
      </c>
      <c r="AE19" s="13">
        <v>2</v>
      </c>
      <c r="AF19" s="13">
        <v>2</v>
      </c>
      <c r="AG19" s="13">
        <v>2</v>
      </c>
      <c r="AH19" s="13">
        <v>2</v>
      </c>
      <c r="AI19" s="5">
        <v>2</v>
      </c>
      <c r="AJ19" s="9">
        <v>2</v>
      </c>
      <c r="AK19" s="9">
        <v>2</v>
      </c>
      <c r="AL19" s="9">
        <v>2</v>
      </c>
      <c r="AM19" s="9">
        <v>2</v>
      </c>
      <c r="AN19" s="5">
        <v>2</v>
      </c>
    </row>
    <row r="20" spans="1:51" x14ac:dyDescent="0.3">
      <c r="C20" s="4"/>
      <c r="J20" s="5"/>
      <c r="O20" s="5"/>
      <c r="T20" s="5"/>
      <c r="Y20" s="5"/>
      <c r="AD20" s="5"/>
      <c r="AI20" s="5"/>
      <c r="AN20" s="5"/>
    </row>
    <row r="21" spans="1:51" x14ac:dyDescent="0.3">
      <c r="B21" s="1" t="s">
        <v>14</v>
      </c>
      <c r="C21" s="14">
        <v>82.804000000000002</v>
      </c>
      <c r="D21" s="13">
        <v>81.356714285714276</v>
      </c>
      <c r="E21" s="13">
        <v>79.896428571428558</v>
      </c>
      <c r="F21" s="13">
        <v>81.31614285714285</v>
      </c>
      <c r="G21" s="13">
        <v>82.735857142857128</v>
      </c>
      <c r="H21" s="13">
        <v>82.677571428571412</v>
      </c>
      <c r="I21" s="13">
        <v>83.395285714285706</v>
      </c>
      <c r="J21" s="15">
        <v>84.814999999999998</v>
      </c>
      <c r="K21" s="13">
        <v>84.914000000000001</v>
      </c>
      <c r="L21" s="13">
        <v>85.015000000000001</v>
      </c>
      <c r="M21" s="13">
        <v>85.11399999999999</v>
      </c>
      <c r="N21" s="13">
        <v>85.513000000000005</v>
      </c>
      <c r="O21" s="15">
        <v>84.089999999999989</v>
      </c>
      <c r="P21" s="13">
        <v>82.435999999999993</v>
      </c>
      <c r="Q21" s="13">
        <v>82.63</v>
      </c>
      <c r="R21" s="13">
        <v>83.780999999999992</v>
      </c>
      <c r="S21" s="13">
        <v>85.374999999999986</v>
      </c>
      <c r="T21" s="15">
        <v>85.568999999999988</v>
      </c>
      <c r="U21" s="13">
        <v>86.386199999999988</v>
      </c>
      <c r="V21" s="13">
        <v>86.453399999999988</v>
      </c>
      <c r="W21" s="13">
        <v>87.270599999999988</v>
      </c>
      <c r="X21" s="13">
        <v>88.087799999999987</v>
      </c>
      <c r="Y21" s="15">
        <v>88.904999999999987</v>
      </c>
      <c r="Z21" s="13">
        <v>89.98439999999998</v>
      </c>
      <c r="AA21" s="13">
        <v>91.063799999999986</v>
      </c>
      <c r="AB21" s="13">
        <v>92.143199999999993</v>
      </c>
      <c r="AC21" s="13">
        <v>93.2226</v>
      </c>
      <c r="AD21" s="15">
        <v>93.249999999999986</v>
      </c>
      <c r="AE21" s="13">
        <v>93.584199999999996</v>
      </c>
      <c r="AF21" s="13">
        <v>93.918400000000005</v>
      </c>
      <c r="AG21" s="13">
        <v>94.252599999999987</v>
      </c>
      <c r="AH21" s="13">
        <v>94.586799999999997</v>
      </c>
      <c r="AI21" s="15">
        <v>94.920999999999978</v>
      </c>
      <c r="AJ21" s="13">
        <v>95.868399999999994</v>
      </c>
      <c r="AK21" s="13">
        <v>96.815799999999982</v>
      </c>
      <c r="AL21" s="13">
        <v>97.763199999999998</v>
      </c>
      <c r="AM21" s="13">
        <v>98.710599999999985</v>
      </c>
      <c r="AN21" s="13">
        <v>99.658000000000001</v>
      </c>
    </row>
    <row r="22" spans="1:51" x14ac:dyDescent="0.3">
      <c r="B22" s="1" t="s">
        <v>38</v>
      </c>
      <c r="C22" s="16">
        <v>45108</v>
      </c>
      <c r="D22" s="17">
        <v>45474</v>
      </c>
      <c r="E22" s="17">
        <v>45839</v>
      </c>
      <c r="F22" s="17">
        <v>46204</v>
      </c>
      <c r="G22" s="17">
        <v>46569</v>
      </c>
      <c r="H22" s="17">
        <v>46935</v>
      </c>
      <c r="I22" s="17">
        <v>47300</v>
      </c>
      <c r="J22" s="18">
        <v>47665</v>
      </c>
      <c r="K22" s="17">
        <v>48030</v>
      </c>
      <c r="L22" s="17">
        <v>48396</v>
      </c>
      <c r="M22" s="17">
        <v>48761</v>
      </c>
      <c r="N22" s="17">
        <v>49126</v>
      </c>
      <c r="O22" s="18">
        <v>49491</v>
      </c>
      <c r="P22" s="17">
        <v>49857</v>
      </c>
      <c r="Q22" s="17">
        <v>50222</v>
      </c>
      <c r="R22" s="17">
        <v>50587</v>
      </c>
      <c r="S22" s="17">
        <v>50952</v>
      </c>
      <c r="T22" s="18">
        <v>51318</v>
      </c>
      <c r="U22" s="17">
        <v>51683</v>
      </c>
      <c r="V22" s="17">
        <v>52048</v>
      </c>
      <c r="W22" s="17">
        <v>52413</v>
      </c>
      <c r="X22" s="17">
        <v>52779</v>
      </c>
      <c r="Y22" s="18">
        <v>53144</v>
      </c>
      <c r="Z22" s="17">
        <v>53509</v>
      </c>
      <c r="AA22" s="17">
        <v>53874</v>
      </c>
      <c r="AB22" s="17">
        <v>54240</v>
      </c>
      <c r="AC22" s="17">
        <v>54605</v>
      </c>
      <c r="AD22" s="18">
        <v>54970</v>
      </c>
      <c r="AE22" s="17">
        <v>55335</v>
      </c>
      <c r="AF22" s="17">
        <v>55701</v>
      </c>
      <c r="AG22" s="17">
        <v>56066</v>
      </c>
      <c r="AH22" s="17">
        <v>56431</v>
      </c>
      <c r="AI22" s="18">
        <v>56796</v>
      </c>
      <c r="AJ22" s="17">
        <v>57162</v>
      </c>
      <c r="AK22" s="17">
        <v>57527</v>
      </c>
      <c r="AL22" s="17">
        <v>57892</v>
      </c>
      <c r="AM22" s="17">
        <v>58257</v>
      </c>
      <c r="AN22" s="18">
        <v>58623</v>
      </c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1" x14ac:dyDescent="0.3">
      <c r="C23" s="4">
        <v>199.2</v>
      </c>
      <c r="J23" s="5"/>
      <c r="O23" s="5"/>
      <c r="T23" s="5"/>
      <c r="Y23" s="5"/>
      <c r="AD23" s="5"/>
      <c r="AI23" s="5"/>
      <c r="AN23" s="5"/>
    </row>
    <row r="24" spans="1:51" x14ac:dyDescent="0.3">
      <c r="B24" s="1" t="s">
        <v>15</v>
      </c>
      <c r="C24" s="4">
        <v>201.5728</v>
      </c>
      <c r="D24" s="9">
        <v>202.45750000000001</v>
      </c>
      <c r="E24" s="9">
        <v>203.44060000000002</v>
      </c>
      <c r="F24" s="9">
        <v>204.52210000000002</v>
      </c>
      <c r="G24" s="9">
        <v>205.702</v>
      </c>
      <c r="H24" s="9">
        <v>206.9803</v>
      </c>
      <c r="I24" s="9">
        <v>208.35700000000003</v>
      </c>
      <c r="J24" s="11">
        <v>209.83210000000003</v>
      </c>
      <c r="K24" s="9">
        <v>211.40560000000002</v>
      </c>
      <c r="L24" s="9">
        <v>213.07750000000001</v>
      </c>
      <c r="M24" s="9">
        <v>214.84780000000001</v>
      </c>
      <c r="N24" s="9">
        <v>216.7165</v>
      </c>
      <c r="O24" s="11">
        <v>218.68360000000001</v>
      </c>
      <c r="P24" s="9">
        <v>220.7491</v>
      </c>
      <c r="Q24" s="9">
        <v>222.91300000000001</v>
      </c>
      <c r="R24" s="9">
        <v>225.17530000000002</v>
      </c>
      <c r="S24" s="9">
        <v>227.536</v>
      </c>
      <c r="T24" s="11">
        <v>229.99510000000001</v>
      </c>
      <c r="U24" s="9">
        <v>232.55260000000004</v>
      </c>
      <c r="V24" s="9">
        <v>235.20850000000002</v>
      </c>
      <c r="W24" s="9">
        <v>237.96280000000002</v>
      </c>
      <c r="X24" s="9">
        <v>240.81550000000001</v>
      </c>
      <c r="Y24" s="11">
        <v>243.76660000000001</v>
      </c>
      <c r="Z24" s="9">
        <v>246.81610000000003</v>
      </c>
      <c r="AA24" s="9">
        <v>249.964</v>
      </c>
      <c r="AB24" s="9">
        <v>253.21030000000002</v>
      </c>
      <c r="AC24" s="9">
        <v>256.55500000000001</v>
      </c>
      <c r="AD24" s="5">
        <v>259.99810000000002</v>
      </c>
      <c r="AE24" s="9">
        <v>263.53960000000001</v>
      </c>
      <c r="AF24" s="9">
        <v>267.17950000000002</v>
      </c>
      <c r="AG24" s="9">
        <v>270.9178</v>
      </c>
      <c r="AH24" s="9">
        <v>274.75450000000001</v>
      </c>
      <c r="AI24" s="11">
        <v>278.68960000000004</v>
      </c>
      <c r="AJ24" s="9">
        <v>282.72310000000004</v>
      </c>
      <c r="AK24" s="9">
        <v>286.85500000000002</v>
      </c>
      <c r="AL24" s="9">
        <v>291.08530000000002</v>
      </c>
      <c r="AM24" s="9">
        <v>295.41399999999999</v>
      </c>
      <c r="AN24" s="11">
        <v>299.84109999999998</v>
      </c>
    </row>
    <row r="25" spans="1:51" x14ac:dyDescent="0.3">
      <c r="C25" s="19">
        <v>1.0119116465863454</v>
      </c>
      <c r="D25" s="20">
        <v>1.0163529116465864</v>
      </c>
      <c r="E25" s="20">
        <v>1.0212881526104418</v>
      </c>
      <c r="F25" s="20">
        <v>1.0267173694779119</v>
      </c>
      <c r="G25" s="20">
        <v>1.032640562248996</v>
      </c>
      <c r="H25" s="20">
        <v>1.0390577309236948</v>
      </c>
      <c r="I25" s="20">
        <v>1.0459688755020082</v>
      </c>
      <c r="J25" s="21">
        <v>1.0533739959839359</v>
      </c>
      <c r="K25" s="20">
        <v>1.061273092369478</v>
      </c>
      <c r="L25" s="20">
        <v>1.0696661646586347</v>
      </c>
      <c r="M25" s="20">
        <v>1.0785532128514057</v>
      </c>
      <c r="N25" s="20">
        <v>1.0879342369477911</v>
      </c>
      <c r="O25" s="21">
        <v>1.0978092369477912</v>
      </c>
      <c r="P25" s="20">
        <v>1.1081782128514057</v>
      </c>
      <c r="Q25" s="20">
        <v>1.1190411646586347</v>
      </c>
      <c r="R25" s="20">
        <v>1.1303980923694781</v>
      </c>
      <c r="S25" s="20">
        <v>1.1422489959839359</v>
      </c>
      <c r="T25" s="21">
        <v>1.1545938755020082</v>
      </c>
      <c r="U25" s="20">
        <v>1.1674327309236951</v>
      </c>
      <c r="V25" s="20">
        <v>1.1807655622489961</v>
      </c>
      <c r="W25" s="20">
        <v>1.1945923694779117</v>
      </c>
      <c r="X25" s="20">
        <v>1.208913152610442</v>
      </c>
      <c r="Y25" s="21">
        <v>1.2237279116465865</v>
      </c>
      <c r="Z25" s="20">
        <v>1.2390366465863456</v>
      </c>
      <c r="AA25" s="20">
        <v>1.254839357429719</v>
      </c>
      <c r="AB25" s="20">
        <v>1.271136044176707</v>
      </c>
      <c r="AC25" s="20">
        <v>1.2879267068273093</v>
      </c>
      <c r="AD25" s="21">
        <v>1.3052113453815264</v>
      </c>
      <c r="AE25" s="6">
        <v>1.3229899598393575</v>
      </c>
      <c r="AF25" s="6">
        <v>1.3412625502008033</v>
      </c>
      <c r="AG25" s="6">
        <v>1.3600291164658636</v>
      </c>
      <c r="AH25" s="6">
        <v>1.3792896586345382</v>
      </c>
      <c r="AI25" s="21">
        <v>1.3990441767068276</v>
      </c>
      <c r="AJ25" s="6">
        <v>1.4192926706827311</v>
      </c>
      <c r="AK25" s="6">
        <v>1.4400351405622491</v>
      </c>
      <c r="AL25" s="6">
        <v>1.4612715863453818</v>
      </c>
      <c r="AM25" s="6">
        <v>1.4830020080321284</v>
      </c>
      <c r="AN25" s="21">
        <v>1.50522640562249</v>
      </c>
      <c r="AR25" s="22"/>
    </row>
    <row r="26" spans="1:51" x14ac:dyDescent="0.3">
      <c r="B26" s="1" t="s">
        <v>16</v>
      </c>
      <c r="C26" s="26">
        <v>551</v>
      </c>
      <c r="J26" s="34">
        <v>1059</v>
      </c>
      <c r="O26" s="34">
        <v>1215</v>
      </c>
      <c r="T26" s="24">
        <v>1216</v>
      </c>
      <c r="Y26" s="24">
        <v>1219</v>
      </c>
      <c r="AD26" s="24">
        <v>1212</v>
      </c>
      <c r="AI26" s="24">
        <v>1209</v>
      </c>
      <c r="AN26" s="24">
        <v>1208</v>
      </c>
      <c r="AR26" s="25"/>
    </row>
    <row r="27" spans="1:51" x14ac:dyDescent="0.3">
      <c r="A27" s="1" t="s">
        <v>17</v>
      </c>
      <c r="B27" s="1" t="s">
        <v>18</v>
      </c>
      <c r="C27" s="26">
        <v>38.799999999999997</v>
      </c>
      <c r="J27" s="26">
        <v>39.1</v>
      </c>
      <c r="O27" s="34">
        <v>38.799999999999997</v>
      </c>
      <c r="T27" s="24">
        <v>39.200000000000003</v>
      </c>
      <c r="Y27" s="24">
        <v>38.9</v>
      </c>
      <c r="AD27" s="24">
        <v>39.200000000000003</v>
      </c>
      <c r="AI27" s="24">
        <v>38.700000000000003</v>
      </c>
      <c r="AN27" s="24">
        <v>35.5</v>
      </c>
    </row>
    <row r="28" spans="1:51" x14ac:dyDescent="0.3">
      <c r="A28" s="1" t="s">
        <v>19</v>
      </c>
      <c r="B28" s="1" t="s">
        <v>20</v>
      </c>
      <c r="C28" s="26">
        <v>556</v>
      </c>
      <c r="D28" s="9">
        <v>545.42857142857144</v>
      </c>
      <c r="E28" s="9">
        <v>534.85714285714289</v>
      </c>
      <c r="F28" s="9">
        <v>524.28571428571433</v>
      </c>
      <c r="G28" s="9">
        <v>513.71428571428578</v>
      </c>
      <c r="H28" s="9">
        <v>503.14285714285722</v>
      </c>
      <c r="I28" s="9">
        <v>492.57142857142867</v>
      </c>
      <c r="J28" s="26">
        <v>482</v>
      </c>
      <c r="K28" s="8">
        <v>469.8</v>
      </c>
      <c r="L28" s="8">
        <v>457.6</v>
      </c>
      <c r="M28" s="8">
        <v>445.40000000000003</v>
      </c>
      <c r="N28" s="8">
        <v>433.20000000000005</v>
      </c>
      <c r="O28" s="34">
        <v>421</v>
      </c>
      <c r="P28" s="8">
        <v>373.4</v>
      </c>
      <c r="Q28" s="8">
        <v>325.79999999999995</v>
      </c>
      <c r="R28" s="8">
        <v>278.19999999999993</v>
      </c>
      <c r="S28" s="8">
        <v>230.59999999999994</v>
      </c>
      <c r="T28" s="24">
        <v>183</v>
      </c>
      <c r="U28" s="13">
        <v>172.8</v>
      </c>
      <c r="V28" s="13">
        <v>162.60000000000002</v>
      </c>
      <c r="W28" s="13">
        <v>152.40000000000003</v>
      </c>
      <c r="X28" s="13">
        <v>142.20000000000005</v>
      </c>
      <c r="Y28" s="24">
        <v>132</v>
      </c>
      <c r="Z28" s="13">
        <v>106.2</v>
      </c>
      <c r="AA28" s="13">
        <v>80.400000000000006</v>
      </c>
      <c r="AB28" s="13">
        <v>54.600000000000009</v>
      </c>
      <c r="AC28" s="13">
        <v>28.800000000000008</v>
      </c>
      <c r="AD28" s="24">
        <v>3</v>
      </c>
      <c r="AE28" s="13">
        <v>2.4</v>
      </c>
      <c r="AF28" s="13">
        <v>1.7999999999999998</v>
      </c>
      <c r="AG28" s="13">
        <v>1.1999999999999997</v>
      </c>
      <c r="AH28" s="13">
        <v>0.59999999999999976</v>
      </c>
      <c r="AI28" s="24">
        <v>0</v>
      </c>
      <c r="AJ28" s="13">
        <v>0</v>
      </c>
      <c r="AK28" s="13">
        <v>0</v>
      </c>
      <c r="AL28" s="13">
        <v>0</v>
      </c>
      <c r="AM28" s="13">
        <v>0</v>
      </c>
      <c r="AN28" s="24">
        <v>0</v>
      </c>
    </row>
    <row r="29" spans="1:51" x14ac:dyDescent="0.3">
      <c r="A29" s="1" t="s">
        <v>21</v>
      </c>
      <c r="B29" s="1" t="s">
        <v>20</v>
      </c>
      <c r="C29" s="26">
        <v>595</v>
      </c>
      <c r="D29" s="9">
        <v>585.57142857142856</v>
      </c>
      <c r="E29" s="9">
        <v>576.14285714285711</v>
      </c>
      <c r="F29" s="9">
        <v>566.71428571428567</v>
      </c>
      <c r="G29" s="9">
        <v>557.28571428571422</v>
      </c>
      <c r="H29" s="9">
        <v>547.85714285714278</v>
      </c>
      <c r="I29" s="9">
        <v>538.42857142857133</v>
      </c>
      <c r="J29" s="26">
        <v>529</v>
      </c>
      <c r="K29" s="8">
        <v>517.20000000000005</v>
      </c>
      <c r="L29" s="8">
        <v>505.40000000000003</v>
      </c>
      <c r="M29" s="8">
        <v>493.6</v>
      </c>
      <c r="N29" s="8">
        <v>481.8</v>
      </c>
      <c r="O29" s="34">
        <v>470</v>
      </c>
      <c r="P29" s="8">
        <v>423</v>
      </c>
      <c r="Q29" s="8">
        <v>376</v>
      </c>
      <c r="R29" s="8">
        <v>329</v>
      </c>
      <c r="S29" s="8">
        <v>282</v>
      </c>
      <c r="T29" s="24">
        <v>235</v>
      </c>
      <c r="U29" s="13">
        <v>223</v>
      </c>
      <c r="V29" s="13">
        <v>211</v>
      </c>
      <c r="W29" s="13">
        <v>199</v>
      </c>
      <c r="X29" s="13">
        <v>187</v>
      </c>
      <c r="Y29" s="24">
        <v>175</v>
      </c>
      <c r="Z29" s="13">
        <v>149.6</v>
      </c>
      <c r="AA29" s="13">
        <v>124.19999999999999</v>
      </c>
      <c r="AB29" s="13">
        <v>98.799999999999983</v>
      </c>
      <c r="AC29" s="13">
        <v>73.399999999999977</v>
      </c>
      <c r="AD29" s="24">
        <v>48</v>
      </c>
      <c r="AE29" s="13">
        <v>47</v>
      </c>
      <c r="AF29" s="13">
        <v>46</v>
      </c>
      <c r="AG29" s="13">
        <v>45</v>
      </c>
      <c r="AH29" s="13">
        <v>44</v>
      </c>
      <c r="AI29" s="24">
        <v>43</v>
      </c>
      <c r="AJ29" s="13">
        <v>42.6</v>
      </c>
      <c r="AK29" s="13">
        <v>42.2</v>
      </c>
      <c r="AL29" s="13">
        <v>41.800000000000004</v>
      </c>
      <c r="AM29" s="13">
        <v>41.400000000000006</v>
      </c>
      <c r="AN29" s="24">
        <v>41</v>
      </c>
      <c r="AR29" s="27"/>
    </row>
    <row r="30" spans="1:51" x14ac:dyDescent="0.3">
      <c r="B30" s="1" t="s">
        <v>22</v>
      </c>
      <c r="C30" s="28">
        <v>2023</v>
      </c>
      <c r="J30" s="28">
        <v>2030</v>
      </c>
      <c r="O30" s="28">
        <v>2035</v>
      </c>
      <c r="T30" s="28">
        <v>2040</v>
      </c>
      <c r="Y30" s="28">
        <v>2045</v>
      </c>
      <c r="AD30" s="28">
        <v>2050</v>
      </c>
      <c r="AI30" s="28">
        <v>2055</v>
      </c>
      <c r="AN30" s="28">
        <v>2060</v>
      </c>
    </row>
    <row r="31" spans="1:51" x14ac:dyDescent="0.3">
      <c r="B31" s="1" t="s">
        <v>23</v>
      </c>
      <c r="C31" s="25">
        <v>27147000</v>
      </c>
      <c r="D31" s="25">
        <v>27544571.428571429</v>
      </c>
      <c r="E31" s="25">
        <v>27942142.857142858</v>
      </c>
      <c r="F31" s="25">
        <v>28339714.285714287</v>
      </c>
      <c r="G31" s="25">
        <v>28737285.714285716</v>
      </c>
      <c r="H31" s="25">
        <v>29134857.142857146</v>
      </c>
      <c r="I31" s="25">
        <v>29532428.571428575</v>
      </c>
      <c r="J31" s="25">
        <v>29930000</v>
      </c>
      <c r="K31" s="25">
        <v>30305400</v>
      </c>
      <c r="L31" s="25">
        <v>30680800</v>
      </c>
      <c r="M31" s="25">
        <v>31056200</v>
      </c>
      <c r="N31" s="25">
        <v>31431600</v>
      </c>
      <c r="O31" s="25">
        <v>31807000</v>
      </c>
      <c r="P31" s="25">
        <v>32166200</v>
      </c>
      <c r="Q31" s="25">
        <v>32525400</v>
      </c>
      <c r="R31" s="25">
        <v>32884600</v>
      </c>
      <c r="S31" s="25">
        <v>33243800</v>
      </c>
      <c r="T31" s="25">
        <v>33603000</v>
      </c>
      <c r="U31" s="25">
        <v>33952600</v>
      </c>
      <c r="V31" s="25">
        <v>34302200</v>
      </c>
      <c r="W31" s="25">
        <v>34651800</v>
      </c>
      <c r="X31" s="25">
        <v>35001400</v>
      </c>
      <c r="Y31" s="25">
        <v>35351000</v>
      </c>
      <c r="Z31" s="25">
        <v>35696200</v>
      </c>
      <c r="AA31" s="25">
        <v>36041400</v>
      </c>
      <c r="AB31" s="25">
        <v>36386600</v>
      </c>
      <c r="AC31" s="25">
        <v>36731800</v>
      </c>
      <c r="AD31" s="25">
        <v>37077000</v>
      </c>
      <c r="AE31" s="25">
        <v>37421800</v>
      </c>
      <c r="AF31" s="25">
        <v>37766600</v>
      </c>
      <c r="AG31" s="25">
        <v>38111400</v>
      </c>
      <c r="AH31" s="25">
        <v>38456200</v>
      </c>
      <c r="AI31" s="25">
        <v>38801000</v>
      </c>
      <c r="AJ31" s="25">
        <v>39148000</v>
      </c>
      <c r="AK31" s="25">
        <v>39495000</v>
      </c>
      <c r="AL31" s="25">
        <v>39842000</v>
      </c>
      <c r="AM31" s="25">
        <v>40189000</v>
      </c>
      <c r="AN31" s="25">
        <v>40536000</v>
      </c>
    </row>
    <row r="32" spans="1:51" x14ac:dyDescent="0.3">
      <c r="B32" s="1" t="s">
        <v>24</v>
      </c>
      <c r="C32" s="13">
        <v>27.146999999999998</v>
      </c>
      <c r="D32" s="13">
        <v>27.54457142857143</v>
      </c>
      <c r="E32" s="13">
        <v>27.942142857142859</v>
      </c>
      <c r="F32" s="13">
        <v>28.339714285714287</v>
      </c>
      <c r="G32" s="13">
        <v>28.737285714285715</v>
      </c>
      <c r="H32" s="13">
        <v>29.134857142857147</v>
      </c>
      <c r="I32" s="13">
        <v>29.532428571428575</v>
      </c>
      <c r="J32" s="13">
        <v>29.93</v>
      </c>
      <c r="K32" s="13">
        <v>30.305399999999999</v>
      </c>
      <c r="L32" s="13">
        <v>30.680800000000001</v>
      </c>
      <c r="M32" s="13">
        <v>31.0562</v>
      </c>
      <c r="N32" s="13">
        <v>31.4316</v>
      </c>
      <c r="O32" s="13">
        <v>31.806999999999999</v>
      </c>
      <c r="P32" s="13">
        <v>32.166200000000003</v>
      </c>
      <c r="Q32" s="13">
        <v>32.525399999999998</v>
      </c>
      <c r="R32" s="13">
        <v>32.884599999999999</v>
      </c>
      <c r="S32" s="13">
        <v>33.2438</v>
      </c>
      <c r="T32" s="13">
        <v>33.603000000000002</v>
      </c>
      <c r="U32" s="13">
        <v>33.952599999999997</v>
      </c>
      <c r="V32" s="13">
        <v>34.302199999999999</v>
      </c>
      <c r="W32" s="13">
        <v>34.651800000000001</v>
      </c>
      <c r="X32" s="13">
        <v>35.001399999999997</v>
      </c>
      <c r="Y32" s="13">
        <v>35.350999999999999</v>
      </c>
      <c r="Z32" s="13">
        <v>35.696199999999997</v>
      </c>
      <c r="AA32" s="13">
        <v>36.041400000000003</v>
      </c>
      <c r="AB32" s="13">
        <v>36.386600000000001</v>
      </c>
      <c r="AC32" s="13">
        <v>36.7318</v>
      </c>
      <c r="AD32" s="13">
        <v>37.076999999999998</v>
      </c>
      <c r="AE32" s="13">
        <v>37.421799999999998</v>
      </c>
      <c r="AF32" s="13">
        <v>37.766599999999997</v>
      </c>
      <c r="AG32" s="13">
        <v>38.111400000000003</v>
      </c>
      <c r="AH32" s="13">
        <v>38.456200000000003</v>
      </c>
      <c r="AI32" s="13">
        <v>38.801000000000002</v>
      </c>
      <c r="AJ32" s="13">
        <v>39.148000000000003</v>
      </c>
      <c r="AK32" s="13">
        <v>39.494999999999997</v>
      </c>
      <c r="AL32" s="13">
        <v>39.841999999999999</v>
      </c>
      <c r="AM32" s="13">
        <v>40.189</v>
      </c>
      <c r="AN32" s="13">
        <v>40.536000000000001</v>
      </c>
    </row>
    <row r="33" spans="2:40" x14ac:dyDescent="0.3">
      <c r="B33" s="1" t="s">
        <v>25</v>
      </c>
      <c r="C33" s="8"/>
      <c r="D33" s="8"/>
      <c r="E33" s="8"/>
      <c r="F33" s="8"/>
      <c r="G33" s="8"/>
      <c r="H33" s="8"/>
      <c r="I33" s="8"/>
      <c r="J33" s="8">
        <v>0</v>
      </c>
      <c r="K33" s="8">
        <v>0</v>
      </c>
      <c r="L33" s="8">
        <v>0</v>
      </c>
      <c r="M33" s="8">
        <v>0</v>
      </c>
      <c r="N33" s="8">
        <v>7.1068606116137897E-2</v>
      </c>
      <c r="O33" s="8">
        <v>7.7252805986103693E-2</v>
      </c>
      <c r="P33" s="8">
        <v>0.28565276594686345</v>
      </c>
      <c r="Q33" s="8">
        <v>0.28249810917006402</v>
      </c>
      <c r="R33" s="8">
        <v>0.27941236931572833</v>
      </c>
      <c r="S33" s="8">
        <v>0.27639331243720633</v>
      </c>
      <c r="T33" s="8">
        <v>0.27343880010713328</v>
      </c>
      <c r="U33" s="8">
        <v>0.2557104905073545</v>
      </c>
      <c r="V33" s="8">
        <v>0.25310434899219281</v>
      </c>
      <c r="W33" s="8">
        <v>0.2505507938981526</v>
      </c>
      <c r="X33" s="8">
        <v>0.24804824949859158</v>
      </c>
      <c r="Y33" s="8">
        <v>0.2455952023988007</v>
      </c>
      <c r="Z33" s="8">
        <v>0.34084199438595714</v>
      </c>
      <c r="AA33" s="8">
        <v>0.33757745259618116</v>
      </c>
      <c r="AB33" s="8">
        <v>0.33437485228078445</v>
      </c>
      <c r="AC33" s="8">
        <v>0.33123244708944305</v>
      </c>
      <c r="AD33" s="8">
        <v>0.32814855570839074</v>
      </c>
      <c r="AE33" s="8">
        <v>0.17760502167186004</v>
      </c>
      <c r="AF33" s="8">
        <v>0.17598353042106019</v>
      </c>
      <c r="AG33" s="8">
        <v>0.17439137895747761</v>
      </c>
      <c r="AH33" s="8">
        <v>0.17282777809559999</v>
      </c>
      <c r="AI33" s="8">
        <v>0.17129196670188807</v>
      </c>
      <c r="AJ33" s="8">
        <v>0.18019669970368823</v>
      </c>
      <c r="AK33" s="8">
        <v>0.17861350550702587</v>
      </c>
      <c r="AL33" s="8">
        <v>0.1770578886602075</v>
      </c>
      <c r="AM33" s="8">
        <v>0.17552913483789065</v>
      </c>
      <c r="AN33" s="8">
        <v>0.17402655417406848</v>
      </c>
    </row>
    <row r="34" spans="2:40" x14ac:dyDescent="0.3">
      <c r="B34" s="1" t="s">
        <v>26</v>
      </c>
      <c r="C34" s="1">
        <v>0.85</v>
      </c>
    </row>
    <row r="35" spans="2:40" x14ac:dyDescent="0.3">
      <c r="B35" s="1" t="s">
        <v>27</v>
      </c>
      <c r="C35" s="29">
        <v>0.21087838127961719</v>
      </c>
    </row>
    <row r="36" spans="2:40" ht="28.8" x14ac:dyDescent="0.3">
      <c r="B36" s="30" t="s">
        <v>28</v>
      </c>
      <c r="C36" s="1">
        <v>3.5000000000000003E-2</v>
      </c>
      <c r="D36" s="1" t="s">
        <v>29</v>
      </c>
    </row>
    <row r="37" spans="2:40" ht="28.8" x14ac:dyDescent="0.3">
      <c r="B37" s="30" t="s">
        <v>30</v>
      </c>
      <c r="C37" s="20">
        <v>2.8321028912116197E-2</v>
      </c>
      <c r="D37" s="1" t="s">
        <v>31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 RP4 energy </vt:lpstr>
      <vt:lpstr>Sc RP4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Parker</dc:creator>
  <cp:lastModifiedBy>Robert Parker</cp:lastModifiedBy>
  <dcterms:created xsi:type="dcterms:W3CDTF">2024-10-10T02:09:33Z</dcterms:created>
  <dcterms:modified xsi:type="dcterms:W3CDTF">2024-12-13T04:47:17Z</dcterms:modified>
</cp:coreProperties>
</file>